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1840" windowHeight="13740" tabRatio="500" activeTab="3"/>
  </bookViews>
  <sheets>
    <sheet name="Info" sheetId="5" r:id="rId1"/>
    <sheet name="Summary" sheetId="2" r:id="rId2"/>
    <sheet name="Assumptions" sheetId="3" r:id="rId3"/>
    <sheet name="Detailed Calculations" sheetId="1" r:id="rId4"/>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60" i="1" l="1"/>
  <c r="C61" i="1"/>
  <c r="C59" i="1"/>
  <c r="E61" i="1"/>
  <c r="H61" i="1"/>
  <c r="C21" i="1"/>
  <c r="D21" i="1"/>
  <c r="C24" i="2"/>
  <c r="E24" i="2"/>
  <c r="E26" i="2"/>
  <c r="E60" i="1"/>
  <c r="H60" i="1"/>
  <c r="C20" i="1"/>
  <c r="D20" i="1"/>
  <c r="C23" i="2"/>
  <c r="E59" i="1"/>
  <c r="H59" i="1"/>
  <c r="C19" i="1"/>
  <c r="D19" i="1"/>
  <c r="C22" i="2"/>
  <c r="H62" i="1"/>
  <c r="C32" i="1"/>
  <c r="D44" i="1"/>
  <c r="C26" i="1"/>
  <c r="D26" i="1"/>
  <c r="E26" i="1"/>
  <c r="C27" i="1"/>
  <c r="D27" i="1"/>
  <c r="E27" i="1"/>
  <c r="C28" i="1"/>
  <c r="D28" i="1"/>
  <c r="E28" i="1"/>
  <c r="C44" i="1"/>
  <c r="E44" i="1"/>
  <c r="F44" i="1"/>
  <c r="G44" i="1"/>
  <c r="C48" i="1"/>
  <c r="E25" i="2"/>
  <c r="C54" i="1"/>
  <c r="D23" i="3"/>
  <c r="F32" i="1"/>
  <c r="D56" i="1"/>
  <c r="D55" i="1"/>
  <c r="D20" i="3"/>
  <c r="D54" i="1"/>
  <c r="F28" i="1"/>
  <c r="F27" i="1"/>
  <c r="F26" i="1"/>
  <c r="C56" i="1"/>
  <c r="C55" i="1"/>
  <c r="E56" i="1"/>
  <c r="H56" i="1"/>
  <c r="E55" i="1"/>
  <c r="H55" i="1"/>
  <c r="E54" i="1"/>
  <c r="H54" i="1"/>
  <c r="C50" i="1"/>
  <c r="D50" i="1"/>
  <c r="E50" i="1"/>
  <c r="H50" i="1"/>
  <c r="D48" i="1"/>
  <c r="H48" i="1"/>
  <c r="H44" i="1"/>
  <c r="G26" i="1"/>
  <c r="G27" i="1"/>
  <c r="G28" i="1"/>
  <c r="G29" i="1"/>
  <c r="D32" i="1"/>
  <c r="E32" i="1"/>
  <c r="G32" i="1"/>
  <c r="D40" i="1"/>
  <c r="C40" i="1"/>
  <c r="E40" i="1"/>
  <c r="H40" i="1"/>
  <c r="H41" i="1"/>
  <c r="D36" i="1"/>
  <c r="C36" i="1"/>
  <c r="E36" i="1"/>
  <c r="H36" i="1"/>
  <c r="H37" i="1"/>
  <c r="H32" i="1"/>
  <c r="H33" i="1"/>
  <c r="H26" i="1"/>
  <c r="H27" i="1"/>
  <c r="H28" i="1"/>
  <c r="H29" i="1"/>
  <c r="C4" i="2"/>
  <c r="C6" i="1"/>
  <c r="D6" i="1"/>
  <c r="C9" i="2"/>
  <c r="C7" i="1"/>
  <c r="D7" i="1"/>
  <c r="C10" i="2"/>
  <c r="C8" i="1"/>
  <c r="D8" i="1"/>
  <c r="C11" i="2"/>
  <c r="G33" i="1"/>
  <c r="C9" i="1"/>
  <c r="D9" i="1"/>
  <c r="C12" i="2"/>
  <c r="E37" i="1"/>
  <c r="C10" i="1"/>
  <c r="D10" i="1"/>
  <c r="C13" i="2"/>
  <c r="E41" i="1"/>
  <c r="C11" i="1"/>
  <c r="D11" i="1"/>
  <c r="C14" i="2"/>
  <c r="H45" i="1"/>
  <c r="C12" i="1"/>
  <c r="D12" i="1"/>
  <c r="C15" i="2"/>
  <c r="H51" i="1"/>
  <c r="C13" i="1"/>
  <c r="D13" i="1"/>
  <c r="C16" i="2"/>
  <c r="C15" i="1"/>
  <c r="D15" i="1"/>
  <c r="C18" i="2"/>
  <c r="C16" i="1"/>
  <c r="D16" i="1"/>
  <c r="C19" i="2"/>
  <c r="C17" i="1"/>
  <c r="D17" i="1"/>
  <c r="C20" i="2"/>
  <c r="G45" i="1"/>
  <c r="D41" i="1"/>
  <c r="D37" i="1"/>
  <c r="E29" i="1"/>
  <c r="C26" i="2"/>
  <c r="E27" i="2"/>
</calcChain>
</file>

<file path=xl/sharedStrings.xml><?xml version="1.0" encoding="utf-8"?>
<sst xmlns="http://schemas.openxmlformats.org/spreadsheetml/2006/main" count="208" uniqueCount="146">
  <si>
    <t>Number of Users</t>
  </si>
  <si>
    <t>Item</t>
  </si>
  <si>
    <t>Cost/User/Month</t>
  </si>
  <si>
    <t>Total</t>
  </si>
  <si>
    <t>Details</t>
  </si>
  <si>
    <t>Cost/Year</t>
  </si>
  <si>
    <t>Source</t>
  </si>
  <si>
    <t>Compute Hosts with Windows Server OS</t>
  </si>
  <si>
    <t>2 socket, 6 core, 2.4 GHz, 64 Gig RAM</t>
  </si>
  <si>
    <t>AWS TCO Calculator</t>
  </si>
  <si>
    <t>1 socket, 4 core, 2 GHz, 16 GB RAM</t>
  </si>
  <si>
    <t>Load Balancer/Access Gateway</t>
  </si>
  <si>
    <t>Citrix Website</t>
  </si>
  <si>
    <t>License Cost</t>
  </si>
  <si>
    <t>CDW Online</t>
  </si>
  <si>
    <t>Network Attached Storage (per TB)</t>
  </si>
  <si>
    <t>Storage Cost</t>
  </si>
  <si>
    <t>Users Per Host</t>
  </si>
  <si>
    <t>Storage Per User (GB)</t>
  </si>
  <si>
    <t>Management Hosts (License server, Netscaler, Citrix Controllers)</t>
  </si>
  <si>
    <t>SQL Databases</t>
  </si>
  <si>
    <t>Netscalers</t>
  </si>
  <si>
    <t>Quantity</t>
  </si>
  <si>
    <t>Redundancy</t>
  </si>
  <si>
    <t>Quantity with Redundancy</t>
  </si>
  <si>
    <t>Cost/Unit</t>
  </si>
  <si>
    <t>Cost</t>
  </si>
  <si>
    <t>Compute Hosts</t>
  </si>
  <si>
    <t>Network Attached Storage (TB)</t>
  </si>
  <si>
    <t>Total Compute Costs</t>
  </si>
  <si>
    <t>Network Costs/Year</t>
  </si>
  <si>
    <t>Network Hardware Costs</t>
  </si>
  <si>
    <t>Total Compute and Storage Costs</t>
  </si>
  <si>
    <t>Compute and Storage Costs/Year</t>
  </si>
  <si>
    <t>Hardware Maintenance Costs</t>
  </si>
  <si>
    <t>Power Conversion Factor</t>
  </si>
  <si>
    <t>Power Usage Effectiveness</t>
  </si>
  <si>
    <t>Price Per KW</t>
  </si>
  <si>
    <t>Name Plate Wattage</t>
  </si>
  <si>
    <t>Power Used by Compute Infrastructure (KW/Month) = Name Plate Wattage * PCF</t>
  </si>
  <si>
    <t>Power Used for Cooling (KW/Month)</t>
  </si>
  <si>
    <t>Power Cost/Month</t>
  </si>
  <si>
    <t>Software Costs</t>
  </si>
  <si>
    <t>Citrix Netscaler 1 Gbps Enterprise Edition</t>
  </si>
  <si>
    <t>Citrix XenDesktop Platinum Edition With Subscription Advantage (Upgrade rights) [Source CDW] - 1 Year</t>
  </si>
  <si>
    <t>Microsoft RDS CAL (CDW)</t>
  </si>
  <si>
    <t>Number</t>
  </si>
  <si>
    <t>Expense</t>
  </si>
  <si>
    <t>Hardware Costs</t>
  </si>
  <si>
    <t>VDI Solution</t>
  </si>
  <si>
    <t>On-Premises</t>
  </si>
  <si>
    <t>Amazon WorkSpaces</t>
  </si>
  <si>
    <t>Server Hardware For Compute Hosts</t>
  </si>
  <si>
    <t>Server Hardware For Management Hosts</t>
  </si>
  <si>
    <t>Server Hardware For Database Hosts</t>
  </si>
  <si>
    <t>Storage Hardware</t>
  </si>
  <si>
    <t>Costs Items</t>
  </si>
  <si>
    <t>TCO for 1 Month (Amortized)</t>
  </si>
  <si>
    <t>© 2013 Amazon Web Services, Inc.,  This workbook is provided for informational purposes only. Amazon Web Services, Inc. is not responsible for any damages related to the information in these documents, which are provided “as is” without warranty of any kind, whether express, implied, or statutory. Nothing in this workbook creates any warranties or representations from Amazon Web Services, Inc., its affiliates, suppliers, or licensors. This workbook do not modify the applicable terms and conditions governing your use of Amazon Web Services technologies, including the Amazon Web Services website. This workbook represents Amazon Web Services' current product offerings as of the date of issue and are subject to change without notice.</t>
  </si>
  <si>
    <t>Root Volume Per User (GB)</t>
  </si>
  <si>
    <t>Network Attached Storage</t>
  </si>
  <si>
    <t>Network Hardware Costs (Server cost multiplied by 20%)</t>
  </si>
  <si>
    <t>Percentage of compute costs</t>
  </si>
  <si>
    <t>Power and Cooling Assumptions</t>
  </si>
  <si>
    <t>Power and Cooling Cost</t>
  </si>
  <si>
    <t>Number of Hosts</t>
  </si>
  <si>
    <t>Datacenter Construction Costs</t>
  </si>
  <si>
    <t>Datacenter Construction Assumptions</t>
  </si>
  <si>
    <t>Datacenter Construction Cost per KW</t>
  </si>
  <si>
    <t>Datacenter Useful Life (years)</t>
  </si>
  <si>
    <t>Average Power Usage (KW)</t>
  </si>
  <si>
    <t>Annual Datacenter Cost</t>
  </si>
  <si>
    <t>Name plate wattage for compute host</t>
  </si>
  <si>
    <t>KW component construction cost (compute hosts only)</t>
  </si>
  <si>
    <t>Power per Rack Unit</t>
  </si>
  <si>
    <t>Compute room construction costs (compute hosts only)</t>
  </si>
  <si>
    <t>Total Power Usage (KW)</t>
  </si>
  <si>
    <t>Rack Units Needed</t>
  </si>
  <si>
    <t>Rack Units per Rack</t>
  </si>
  <si>
    <t>Space per Rack</t>
  </si>
  <si>
    <t>Compute Room Construction Cost (per sq ft)</t>
  </si>
  <si>
    <t>Cost /User/Month</t>
  </si>
  <si>
    <t>Annual Compute Room Cost</t>
  </si>
  <si>
    <t>Administration Costs</t>
  </si>
  <si>
    <t>Load Balancer/Access Gateways</t>
  </si>
  <si>
    <t>Virtual Desktop Software</t>
  </si>
  <si>
    <t>Client Access Licenses</t>
  </si>
  <si>
    <t>Total Costs</t>
  </si>
  <si>
    <t>Monthly Cost/User</t>
  </si>
  <si>
    <t>Microsoft RDS CAL</t>
  </si>
  <si>
    <t>Citrix XenDesktop Per User Cost (Example VDI software)</t>
  </si>
  <si>
    <t>Citrix 1Gbps Netscaler or Equivalent (Example gateway software)</t>
  </si>
  <si>
    <t>Contents</t>
  </si>
  <si>
    <t>Publish Date</t>
  </si>
  <si>
    <t>Go to http://aws.amazon.com/economics for the most current version.</t>
  </si>
  <si>
    <t>Notices</t>
  </si>
  <si>
    <t>November 13th, 2013</t>
  </si>
  <si>
    <r>
      <t>Network Hardware</t>
    </r>
    <r>
      <rPr>
        <sz val="12"/>
        <color rgb="FF262626"/>
        <rFont val="Calibri"/>
        <scheme val="minor"/>
      </rPr>
      <t xml:space="preserve"> </t>
    </r>
  </si>
  <si>
    <r>
      <t>Hardware Maintenance</t>
    </r>
    <r>
      <rPr>
        <sz val="12"/>
        <color rgb="FF262626"/>
        <rFont val="Calibri"/>
        <scheme val="minor"/>
      </rPr>
      <t xml:space="preserve"> </t>
    </r>
  </si>
  <si>
    <r>
      <t>Power and Cooling</t>
    </r>
    <r>
      <rPr>
        <sz val="12"/>
        <color rgb="FF262626"/>
        <rFont val="Calibri"/>
        <scheme val="minor"/>
      </rPr>
      <t xml:space="preserve"> </t>
    </r>
  </si>
  <si>
    <r>
      <t>Data Center Space</t>
    </r>
    <r>
      <rPr>
        <sz val="12"/>
        <color rgb="FF262626"/>
        <rFont val="Calibri"/>
        <scheme val="minor"/>
      </rPr>
      <t xml:space="preserve"> </t>
    </r>
  </si>
  <si>
    <t>Total Monthly Cost</t>
  </si>
  <si>
    <t>Microsoft SQL Server Hosts with SQL Server</t>
  </si>
  <si>
    <t>Standard WorkSpace</t>
  </si>
  <si>
    <t>Price/Month</t>
  </si>
  <si>
    <t>Amazon WorkSpaces Cost Comparison Calculator</t>
  </si>
  <si>
    <r>
      <rPr>
        <b/>
        <sz val="10"/>
        <color rgb="FF000000"/>
        <rFont val="Arial"/>
        <family val="2"/>
      </rPr>
      <t>Summary WorkSheet:</t>
    </r>
    <r>
      <rPr>
        <sz val="10"/>
        <color rgb="FF000000"/>
        <rFont val="Arial"/>
        <family val="2"/>
      </rPr>
      <t xml:space="preserve"> Summary of Cost Comparision between on-premises Virtual Desktop Infrastructure and Amazon WorkSpaces</t>
    </r>
  </si>
  <si>
    <r>
      <rPr>
        <b/>
        <sz val="10"/>
        <color rgb="FF000000"/>
        <rFont val="Arial"/>
        <family val="2"/>
      </rPr>
      <t>Assumptions WorkSheet:</t>
    </r>
    <r>
      <rPr>
        <sz val="10"/>
        <color rgb="FF000000"/>
        <rFont val="Arial"/>
        <family val="2"/>
      </rPr>
      <t xml:space="preserve"> Cost and details assumptions [Can be updated]</t>
    </r>
  </si>
  <si>
    <r>
      <rPr>
        <b/>
        <sz val="10"/>
        <color rgb="FF000000"/>
        <rFont val="Arial"/>
        <family val="2"/>
      </rPr>
      <t>Details Costs Worksheet:</t>
    </r>
    <r>
      <rPr>
        <sz val="10"/>
        <color rgb="FF000000"/>
        <rFont val="Arial"/>
        <family val="2"/>
      </rPr>
      <t xml:space="preserve"> Detailed cost overview based on assumptions</t>
    </r>
  </si>
  <si>
    <t>Summary of Cost Comparision between On-Premises Virtual Desktop Infrastructure and Amazon WorkSpaces</t>
  </si>
  <si>
    <t>Detailed Assumptions</t>
  </si>
  <si>
    <r>
      <t>Network Hardware</t>
    </r>
    <r>
      <rPr>
        <sz val="10"/>
        <color rgb="FF262626"/>
        <rFont val="Arial"/>
        <family val="2"/>
      </rPr>
      <t xml:space="preserve"> </t>
    </r>
  </si>
  <si>
    <r>
      <t>Hardware Maintenance</t>
    </r>
    <r>
      <rPr>
        <sz val="10"/>
        <color rgb="FF262626"/>
        <rFont val="Arial"/>
        <family val="2"/>
      </rPr>
      <t xml:space="preserve"> </t>
    </r>
  </si>
  <si>
    <r>
      <t>Power and Cooling</t>
    </r>
    <r>
      <rPr>
        <sz val="10"/>
        <color rgb="FF262626"/>
        <rFont val="Arial"/>
        <family val="2"/>
      </rPr>
      <t xml:space="preserve"> </t>
    </r>
  </si>
  <si>
    <r>
      <t>Data Center Space</t>
    </r>
    <r>
      <rPr>
        <sz val="10"/>
        <color rgb="FF262626"/>
        <rFont val="Arial"/>
        <family val="2"/>
      </rPr>
      <t xml:space="preserve"> </t>
    </r>
  </si>
  <si>
    <t xml:space="preserve">Detailed Calculations </t>
  </si>
  <si>
    <t>Summary of Costs</t>
  </si>
  <si>
    <t xml:space="preserve">Cost/TB </t>
  </si>
  <si>
    <t>Scaling Factor for Management hosts, SQL Databases, Admins</t>
  </si>
  <si>
    <t>Number of Administrators per Scaling Factor # of users</t>
  </si>
  <si>
    <t>n/a</t>
  </si>
  <si>
    <t>Cloud Resources</t>
  </si>
  <si>
    <t>Savings Over On-Premises Option</t>
  </si>
  <si>
    <t>(blank)</t>
  </si>
  <si>
    <r>
      <t xml:space="preserve">(cells in </t>
    </r>
    <r>
      <rPr>
        <sz val="9"/>
        <color rgb="FF0000FF"/>
        <rFont val="Calibri"/>
        <scheme val="minor"/>
      </rPr>
      <t>blue</t>
    </r>
    <r>
      <rPr>
        <sz val="9"/>
        <color theme="1"/>
        <rFont val="Calibri"/>
        <scheme val="minor"/>
      </rPr>
      <t xml:space="preserve"> can be updated)</t>
    </r>
  </si>
  <si>
    <t>Cost Item</t>
  </si>
  <si>
    <t>Server Hardware Costs</t>
  </si>
  <si>
    <t>Storage Hardware Costs</t>
  </si>
  <si>
    <t>Database Hosts (SQL Servers)</t>
  </si>
  <si>
    <t>Hardware Maintenance</t>
  </si>
  <si>
    <t>Hardware Maintenance Assumptions</t>
  </si>
  <si>
    <t>Network Hardware Assumptions</t>
  </si>
  <si>
    <t>Database Hosts (Microsoft SQL Servers)</t>
  </si>
  <si>
    <t xml:space="preserve">Percent of Compute Costs </t>
  </si>
  <si>
    <t>Percent of Compute Costs</t>
  </si>
  <si>
    <t>EC2 TCO Calculator</t>
  </si>
  <si>
    <t>Administration Assumptions</t>
  </si>
  <si>
    <t>Hardware Admins</t>
  </si>
  <si>
    <t>VDI Admins</t>
  </si>
  <si>
    <t>Desktop Management Admins</t>
  </si>
  <si>
    <t>Full Time Engineers for Managing Hardware Infrastructure</t>
  </si>
  <si>
    <t>Full Time Engineers for Managing VDI Infrastructure</t>
  </si>
  <si>
    <t>Hardware Admin Costs</t>
  </si>
  <si>
    <t>VDI Admin Costs</t>
  </si>
  <si>
    <t>Desktop Management Admin Costs</t>
  </si>
  <si>
    <t>Full Time Engineers for Managing Desktops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</si>
</sst>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quot;$&quot;#,##0"/>
  </numFmts>
  <fonts count="32"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FF"/>
      <name val="Calibri"/>
      <scheme val="minor"/>
    </font>
    <font>
      <sz val="10"/>
      <color theme="1"/>
      <name val="Tahoma"/>
      <family val="2"/>
    </font>
    <font>
      <u/>
      <sz val="12"/>
      <color theme="10"/>
      <name val="Calibri"/>
      <family val="2"/>
      <scheme val="minor"/>
    </font>
    <font>
      <u/>
      <sz val="12"/>
      <color theme="11"/>
      <name val="Calibri"/>
      <family val="2"/>
      <scheme val="minor"/>
    </font>
    <font>
      <u/>
      <sz val="11"/>
      <color rgb="FF0000FF"/>
      <name val="Calibri"/>
      <family val="2"/>
    </font>
    <font>
      <u/>
      <sz val="11"/>
      <color theme="10"/>
      <name val="Calibri"/>
      <family val="2"/>
    </font>
    <font>
      <sz val="8"/>
      <color theme="1"/>
      <name val="Calibri"/>
      <family val="2"/>
      <scheme val="minor"/>
    </font>
    <font>
      <sz val="11"/>
      <color rgb="FF000000"/>
      <name val="Calibri"/>
      <family val="2"/>
      <scheme val="minor"/>
    </font>
    <font>
      <sz val="11"/>
      <color rgb="FF000000"/>
      <name val="Constantia"/>
      <family val="1"/>
    </font>
    <font>
      <sz val="12"/>
      <color rgb="FF262626"/>
      <name val="Calibri"/>
      <scheme val="minor"/>
    </font>
    <font>
      <b/>
      <sz val="16"/>
      <color theme="9" tint="-0.249977111117893"/>
      <name val="Arial"/>
      <family val="2"/>
    </font>
    <font>
      <sz val="10"/>
      <color rgb="FF000000"/>
      <name val="Arial"/>
      <family val="2"/>
    </font>
    <font>
      <b/>
      <sz val="10"/>
      <color rgb="FF000000"/>
      <name val="Arial"/>
      <family val="2"/>
    </font>
    <font>
      <sz val="11"/>
      <color rgb="FF000000"/>
      <name val="Arial"/>
      <family val="2"/>
    </font>
    <font>
      <sz val="8"/>
      <color rgb="FF000000"/>
      <name val="Arial"/>
      <family val="2"/>
    </font>
    <font>
      <sz val="10"/>
      <color theme="1"/>
      <name val="Arial"/>
      <family val="2"/>
    </font>
    <font>
      <sz val="10"/>
      <color rgb="FF0000FF"/>
      <name val="Arial"/>
      <family val="2"/>
    </font>
    <font>
      <sz val="9"/>
      <color theme="1"/>
      <name val="Calibri"/>
      <scheme val="minor"/>
    </font>
    <font>
      <b/>
      <sz val="10"/>
      <color theme="1"/>
      <name val="Arial"/>
    </font>
    <font>
      <sz val="10"/>
      <name val="Arial"/>
    </font>
    <font>
      <sz val="10"/>
      <color rgb="FF262626"/>
      <name val="Arial"/>
      <family val="2"/>
    </font>
    <font>
      <b/>
      <sz val="10"/>
      <name val="Arial"/>
    </font>
    <font>
      <b/>
      <sz val="10"/>
      <color rgb="FF262626"/>
      <name val="Arial"/>
    </font>
    <font>
      <b/>
      <sz val="14"/>
      <color theme="9" tint="-0.249977111117893"/>
      <name val="Arial"/>
      <family val="2"/>
    </font>
    <font>
      <sz val="9"/>
      <color rgb="FF0000FF"/>
      <name val="Calibri"/>
      <scheme val="minor"/>
    </font>
    <font>
      <b/>
      <sz val="10"/>
      <color theme="1"/>
      <name val="Arial"/>
      <family val="2"/>
    </font>
    <font>
      <b/>
      <sz val="14"/>
      <color rgb="FFE26B0A"/>
      <name val="Calibri"/>
      <family val="2"/>
      <scheme val="minor"/>
    </font>
    <font>
      <b/>
      <sz val="12"/>
      <color rgb="FFE26B0A"/>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0">
    <border>
      <left/>
      <right/>
      <top/>
      <bottom/>
      <diagonal/>
    </border>
    <border>
      <left style="medium">
        <color auto="1"/>
      </left>
      <right style="medium">
        <color rgb="FF000000"/>
      </right>
      <top/>
      <bottom/>
      <diagonal/>
    </border>
    <border>
      <left/>
      <right style="medium">
        <color rgb="FF000000"/>
      </right>
      <top/>
      <bottom/>
      <diagonal/>
    </border>
    <border>
      <left style="medium">
        <color rgb="FF000000"/>
      </left>
      <right style="medium">
        <color rgb="FF000000"/>
      </right>
      <top/>
      <bottom/>
      <diagonal/>
    </border>
    <border>
      <left style="medium">
        <color auto="1"/>
      </left>
      <right style="medium">
        <color rgb="FF000000"/>
      </right>
      <top style="medium">
        <color auto="1"/>
      </top>
      <bottom/>
      <diagonal/>
    </border>
    <border>
      <left/>
      <right style="medium">
        <color rgb="FF000000"/>
      </right>
      <top style="medium">
        <color auto="1"/>
      </top>
      <bottom/>
      <diagonal/>
    </border>
    <border>
      <left style="medium">
        <color rgb="FF000000"/>
      </left>
      <right style="medium">
        <color rgb="FF000000"/>
      </right>
      <top style="medium">
        <color auto="1"/>
      </top>
      <bottom/>
      <diagonal/>
    </border>
    <border>
      <left style="medium">
        <color rgb="FF000000"/>
      </left>
      <right style="medium">
        <color rgb="FF000000"/>
      </right>
      <top style="thick">
        <color auto="1"/>
      </top>
      <bottom style="thick">
        <color auto="1"/>
      </bottom>
      <diagonal/>
    </border>
    <border>
      <left style="medium">
        <color auto="1"/>
      </left>
      <right style="medium">
        <color rgb="FF000000"/>
      </right>
      <top style="thick">
        <color auto="1"/>
      </top>
      <bottom style="thick">
        <color auto="1"/>
      </bottom>
      <diagonal/>
    </border>
    <border>
      <left style="medium">
        <color rgb="FF000000"/>
      </left>
      <right/>
      <top style="thick">
        <color auto="1"/>
      </top>
      <bottom style="thick">
        <color auto="1"/>
      </bottom>
      <diagonal/>
    </border>
    <border>
      <left/>
      <right/>
      <top style="thick">
        <color auto="1"/>
      </top>
      <bottom style="thick">
        <color auto="1"/>
      </bottom>
      <diagonal/>
    </border>
    <border>
      <left/>
      <right style="medium">
        <color rgb="FF000000"/>
      </right>
      <top style="thick">
        <color auto="1"/>
      </top>
      <bottom style="thick">
        <color auto="1"/>
      </bottom>
      <diagonal/>
    </border>
    <border>
      <left style="medium">
        <color auto="1"/>
      </left>
      <right/>
      <top style="thick">
        <color auto="1"/>
      </top>
      <bottom style="thick">
        <color auto="1"/>
      </bottom>
      <diagonal/>
    </border>
    <border>
      <left style="medium">
        <color rgb="FF000000"/>
      </left>
      <right style="medium">
        <color rgb="FF000000"/>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s>
  <cellStyleXfs count="71">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26">
    <xf numFmtId="0" fontId="0" fillId="0" borderId="0" xfId="0"/>
    <xf numFmtId="0" fontId="24" fillId="2" borderId="1" xfId="23" applyFont="1" applyFill="1" applyBorder="1" applyAlignment="1">
      <alignment horizontal="left" vertical="center" wrapText="1" indent="3"/>
    </xf>
    <xf numFmtId="166" fontId="15" fillId="2" borderId="2" xfId="23" applyNumberFormat="1" applyFont="1" applyFill="1" applyBorder="1" applyAlignment="1">
      <alignment horizontal="right" vertical="center" wrapText="1"/>
    </xf>
    <xf numFmtId="166" fontId="24" fillId="2" borderId="2" xfId="23" applyNumberFormat="1" applyFont="1" applyFill="1" applyBorder="1" applyAlignment="1">
      <alignment horizontal="right" vertical="center" wrapText="1"/>
    </xf>
    <xf numFmtId="0" fontId="26" fillId="2" borderId="18" xfId="23" applyFont="1" applyFill="1" applyBorder="1" applyAlignment="1">
      <alignment horizontal="left" vertical="center" wrapText="1" indent="3"/>
    </xf>
    <xf numFmtId="0" fontId="0" fillId="2" borderId="0" xfId="0" applyFill="1"/>
    <xf numFmtId="0" fontId="3" fillId="2" borderId="0" xfId="0" applyFont="1" applyFill="1"/>
    <xf numFmtId="44" fontId="24" fillId="2" borderId="2" xfId="2" applyFont="1" applyFill="1" applyBorder="1" applyAlignment="1">
      <alignment horizontal="left" vertical="center" wrapText="1" indent="2"/>
    </xf>
    <xf numFmtId="164" fontId="15" fillId="2" borderId="2" xfId="2" applyNumberFormat="1" applyFont="1" applyFill="1" applyBorder="1" applyAlignment="1">
      <alignment horizontal="left" vertical="center" wrapText="1" indent="2"/>
    </xf>
    <xf numFmtId="0" fontId="21" fillId="2" borderId="0" xfId="0" applyFont="1" applyFill="1"/>
    <xf numFmtId="0" fontId="19" fillId="2" borderId="14" xfId="0" applyFont="1" applyFill="1" applyBorder="1"/>
    <xf numFmtId="0" fontId="20" fillId="2" borderId="14" xfId="0" applyFont="1" applyFill="1" applyBorder="1"/>
    <xf numFmtId="0" fontId="19" fillId="2" borderId="14" xfId="0" applyFont="1" applyFill="1" applyBorder="1" applyAlignment="1">
      <alignment wrapText="1"/>
    </xf>
    <xf numFmtId="0" fontId="3" fillId="2" borderId="0" xfId="0" applyFont="1" applyFill="1" applyBorder="1" applyAlignment="1">
      <alignment wrapText="1"/>
    </xf>
    <xf numFmtId="0" fontId="4" fillId="2" borderId="0" xfId="0" applyFont="1" applyFill="1" applyBorder="1"/>
    <xf numFmtId="0" fontId="22" fillId="2" borderId="14" xfId="0" applyFont="1" applyFill="1" applyBorder="1" applyAlignment="1">
      <alignment wrapText="1"/>
    </xf>
    <xf numFmtId="0" fontId="25" fillId="2" borderId="14" xfId="0" applyFont="1" applyFill="1" applyBorder="1" applyAlignment="1">
      <alignment horizontal="center"/>
    </xf>
    <xf numFmtId="44" fontId="20" fillId="2" borderId="14" xfId="2" applyFont="1" applyFill="1" applyBorder="1"/>
    <xf numFmtId="0" fontId="22" fillId="2" borderId="14" xfId="0" applyFont="1" applyFill="1" applyBorder="1"/>
    <xf numFmtId="0" fontId="22" fillId="2" borderId="23" xfId="0" applyFont="1" applyFill="1" applyBorder="1" applyAlignment="1"/>
    <xf numFmtId="44" fontId="20" fillId="2" borderId="14" xfId="2" applyFont="1" applyFill="1" applyBorder="1" applyAlignment="1">
      <alignment wrapText="1"/>
    </xf>
    <xf numFmtId="9" fontId="20" fillId="2" borderId="14" xfId="3" applyFont="1" applyFill="1" applyBorder="1"/>
    <xf numFmtId="9" fontId="20" fillId="2" borderId="14" xfId="0" applyNumberFormat="1" applyFont="1" applyFill="1" applyBorder="1"/>
    <xf numFmtId="0" fontId="19" fillId="2" borderId="0" xfId="0" applyFont="1" applyFill="1"/>
    <xf numFmtId="9" fontId="20" fillId="2" borderId="0" xfId="0" applyNumberFormat="1" applyFont="1" applyFill="1"/>
    <xf numFmtId="0" fontId="16" fillId="2" borderId="14" xfId="0" applyFont="1" applyFill="1" applyBorder="1"/>
    <xf numFmtId="44" fontId="20" fillId="2" borderId="0" xfId="2" applyFont="1" applyFill="1"/>
    <xf numFmtId="6" fontId="20" fillId="2" borderId="14" xfId="0" applyNumberFormat="1" applyFont="1" applyFill="1" applyBorder="1"/>
    <xf numFmtId="164" fontId="20" fillId="2" borderId="14" xfId="2" applyNumberFormat="1" applyFont="1" applyFill="1" applyBorder="1"/>
    <xf numFmtId="0" fontId="26" fillId="2" borderId="8" xfId="23" applyFont="1" applyFill="1" applyBorder="1" applyAlignment="1">
      <alignment vertical="center" wrapText="1"/>
    </xf>
    <xf numFmtId="0" fontId="26" fillId="2" borderId="1" xfId="23" applyFont="1" applyFill="1" applyBorder="1" applyAlignment="1">
      <alignment vertical="center" wrapText="1"/>
    </xf>
    <xf numFmtId="0" fontId="26" fillId="2" borderId="2" xfId="23" applyFont="1" applyFill="1" applyBorder="1" applyAlignment="1">
      <alignment horizontal="center" vertical="center" wrapText="1"/>
    </xf>
    <xf numFmtId="0" fontId="24" fillId="2" borderId="2" xfId="23" applyFont="1" applyFill="1" applyBorder="1" applyAlignment="1">
      <alignment horizontal="center" vertical="center" wrapText="1"/>
    </xf>
    <xf numFmtId="0" fontId="26" fillId="2" borderId="4" xfId="23" applyFont="1" applyFill="1" applyBorder="1" applyAlignment="1">
      <alignment vertical="center" wrapText="1"/>
    </xf>
    <xf numFmtId="167" fontId="15" fillId="2" borderId="5" xfId="23" applyNumberFormat="1" applyFont="1" applyFill="1" applyBorder="1" applyAlignment="1">
      <alignment horizontal="right" vertical="center" wrapText="1"/>
    </xf>
    <xf numFmtId="0" fontId="19" fillId="2" borderId="3" xfId="23" applyFont="1" applyFill="1" applyBorder="1"/>
    <xf numFmtId="0" fontId="19" fillId="2" borderId="6" xfId="23" applyFont="1" applyFill="1" applyBorder="1"/>
    <xf numFmtId="167" fontId="15" fillId="2" borderId="2" xfId="23" applyNumberFormat="1" applyFont="1" applyFill="1" applyBorder="1" applyAlignment="1">
      <alignment horizontal="left" vertical="center" wrapText="1" indent="2"/>
    </xf>
    <xf numFmtId="164" fontId="24" fillId="2" borderId="1" xfId="2" applyNumberFormat="1" applyFont="1" applyFill="1" applyBorder="1" applyAlignment="1">
      <alignment horizontal="left" vertical="center" wrapText="1" indent="2"/>
    </xf>
    <xf numFmtId="0" fontId="24" fillId="2" borderId="1" xfId="23" applyFont="1" applyFill="1" applyBorder="1" applyAlignment="1">
      <alignment vertical="center" wrapText="1"/>
    </xf>
    <xf numFmtId="167" fontId="24" fillId="2" borderId="1" xfId="23" applyNumberFormat="1" applyFont="1" applyFill="1" applyBorder="1" applyAlignment="1">
      <alignment horizontal="left" vertical="center" wrapText="1" indent="2"/>
    </xf>
    <xf numFmtId="167" fontId="24" fillId="2" borderId="2" xfId="23" applyNumberFormat="1" applyFont="1" applyFill="1" applyBorder="1" applyAlignment="1">
      <alignment horizontal="center" vertical="center" wrapText="1"/>
    </xf>
    <xf numFmtId="166" fontId="24" fillId="2" borderId="1" xfId="23" applyNumberFormat="1" applyFont="1" applyFill="1" applyBorder="1" applyAlignment="1">
      <alignment vertical="center" wrapText="1"/>
    </xf>
    <xf numFmtId="164" fontId="22" fillId="2" borderId="7" xfId="2" applyNumberFormat="1" applyFont="1" applyFill="1" applyBorder="1" applyAlignment="1">
      <alignment horizontal="left" vertical="center" wrapText="1" indent="2"/>
    </xf>
    <xf numFmtId="8" fontId="22" fillId="2" borderId="13" xfId="23" applyNumberFormat="1" applyFont="1" applyFill="1" applyBorder="1" applyAlignment="1">
      <alignment vertical="center" wrapText="1"/>
    </xf>
    <xf numFmtId="0" fontId="26" fillId="2" borderId="12" xfId="23" applyFont="1" applyFill="1" applyBorder="1" applyAlignment="1">
      <alignment vertical="center" wrapText="1"/>
    </xf>
    <xf numFmtId="8" fontId="19" fillId="2" borderId="11" xfId="23" applyNumberFormat="1" applyFont="1" applyFill="1" applyBorder="1" applyAlignment="1">
      <alignment vertical="center" wrapText="1"/>
    </xf>
    <xf numFmtId="8" fontId="19" fillId="2" borderId="7" xfId="23" applyNumberFormat="1" applyFont="1" applyFill="1" applyBorder="1" applyAlignment="1">
      <alignment vertical="center" wrapText="1"/>
    </xf>
    <xf numFmtId="10" fontId="22" fillId="2" borderId="7" xfId="23" applyNumberFormat="1" applyFont="1" applyFill="1" applyBorder="1" applyAlignment="1">
      <alignment vertical="center" wrapText="1"/>
    </xf>
    <xf numFmtId="0" fontId="27" fillId="2" borderId="0" xfId="0" applyFont="1" applyFill="1" applyAlignment="1">
      <alignment horizontal="left" vertical="center" wrapText="1"/>
    </xf>
    <xf numFmtId="0" fontId="22" fillId="2" borderId="0" xfId="0" applyFont="1" applyFill="1"/>
    <xf numFmtId="0" fontId="22" fillId="2" borderId="0" xfId="0" applyFont="1" applyFill="1" applyAlignment="1">
      <alignment wrapText="1"/>
    </xf>
    <xf numFmtId="0" fontId="20" fillId="2" borderId="0" xfId="0" applyFont="1" applyFill="1"/>
    <xf numFmtId="0" fontId="22" fillId="2" borderId="22" xfId="0" applyFont="1" applyFill="1" applyBorder="1"/>
    <xf numFmtId="1" fontId="19" fillId="2" borderId="14" xfId="0" applyNumberFormat="1" applyFont="1" applyFill="1" applyBorder="1"/>
    <xf numFmtId="9" fontId="23" fillId="2" borderId="14" xfId="3" applyFont="1" applyFill="1" applyBorder="1"/>
    <xf numFmtId="44" fontId="19" fillId="2" borderId="14" xfId="2" applyFont="1" applyFill="1" applyBorder="1"/>
    <xf numFmtId="164" fontId="19" fillId="2" borderId="14" xfId="0" applyNumberFormat="1" applyFont="1" applyFill="1" applyBorder="1"/>
    <xf numFmtId="44" fontId="19" fillId="2" borderId="23" xfId="0" applyNumberFormat="1" applyFont="1" applyFill="1" applyBorder="1"/>
    <xf numFmtId="0" fontId="19" fillId="2" borderId="29" xfId="0" applyFont="1" applyFill="1" applyBorder="1"/>
    <xf numFmtId="44" fontId="19" fillId="2" borderId="0" xfId="0" applyNumberFormat="1" applyFont="1" applyFill="1"/>
    <xf numFmtId="44" fontId="0" fillId="2" borderId="0" xfId="0" applyNumberFormat="1" applyFill="1"/>
    <xf numFmtId="9" fontId="23" fillId="2" borderId="14" xfId="0" applyNumberFormat="1" applyFont="1" applyFill="1" applyBorder="1"/>
    <xf numFmtId="44" fontId="19" fillId="2" borderId="14" xfId="0" applyNumberFormat="1" applyFont="1" applyFill="1" applyBorder="1"/>
    <xf numFmtId="44" fontId="22" fillId="2" borderId="0" xfId="0" applyNumberFormat="1" applyFont="1" applyFill="1"/>
    <xf numFmtId="1" fontId="19" fillId="2" borderId="29" xfId="0" applyNumberFormat="1" applyFont="1" applyFill="1" applyBorder="1"/>
    <xf numFmtId="6" fontId="19" fillId="2" borderId="29" xfId="0" applyNumberFormat="1" applyFont="1" applyFill="1" applyBorder="1"/>
    <xf numFmtId="6" fontId="19" fillId="2" borderId="14" xfId="0" applyNumberFormat="1" applyFont="1" applyFill="1" applyBorder="1"/>
    <xf numFmtId="0" fontId="22" fillId="2" borderId="23" xfId="0" applyFont="1" applyFill="1" applyBorder="1"/>
    <xf numFmtId="0" fontId="22" fillId="2" borderId="24" xfId="0" applyFont="1" applyFill="1" applyBorder="1"/>
    <xf numFmtId="0" fontId="22" fillId="2" borderId="25" xfId="0" applyFont="1" applyFill="1" applyBorder="1"/>
    <xf numFmtId="0" fontId="26" fillId="2" borderId="18" xfId="23" applyFont="1" applyFill="1" applyBorder="1" applyAlignment="1">
      <alignment vertical="center" wrapText="1"/>
    </xf>
    <xf numFmtId="0" fontId="19" fillId="2" borderId="0" xfId="0" applyFont="1" applyFill="1" applyBorder="1"/>
    <xf numFmtId="0" fontId="19" fillId="2" borderId="19" xfId="0" applyFont="1" applyFill="1" applyBorder="1"/>
    <xf numFmtId="44" fontId="19" fillId="2" borderId="0" xfId="0" applyNumberFormat="1" applyFont="1" applyFill="1" applyBorder="1"/>
    <xf numFmtId="44" fontId="19" fillId="2" borderId="19" xfId="0" applyNumberFormat="1" applyFont="1" applyFill="1" applyBorder="1"/>
    <xf numFmtId="0" fontId="26" fillId="2" borderId="20" xfId="23" applyFont="1" applyFill="1" applyBorder="1" applyAlignment="1">
      <alignment horizontal="left" vertical="center" wrapText="1" indent="3"/>
    </xf>
    <xf numFmtId="44" fontId="19" fillId="2" borderId="21" xfId="0" applyNumberFormat="1" applyFont="1" applyFill="1" applyBorder="1"/>
    <xf numFmtId="44" fontId="19" fillId="2" borderId="22" xfId="2" applyFont="1" applyFill="1" applyBorder="1"/>
    <xf numFmtId="0" fontId="19" fillId="3" borderId="0" xfId="0" applyFont="1" applyFill="1" applyBorder="1"/>
    <xf numFmtId="0" fontId="19" fillId="2" borderId="15" xfId="0" applyFont="1" applyFill="1" applyBorder="1"/>
    <xf numFmtId="43" fontId="19" fillId="2" borderId="23" xfId="1" applyFont="1" applyFill="1" applyBorder="1"/>
    <xf numFmtId="6" fontId="19" fillId="2" borderId="23" xfId="0" applyNumberFormat="1" applyFont="1" applyFill="1" applyBorder="1"/>
    <xf numFmtId="0" fontId="19" fillId="3" borderId="0" xfId="0" applyFont="1" applyFill="1" applyBorder="1" applyAlignment="1">
      <alignment horizontal="center"/>
    </xf>
    <xf numFmtId="0" fontId="29" fillId="2" borderId="14" xfId="0" applyFont="1" applyFill="1" applyBorder="1"/>
    <xf numFmtId="0" fontId="19" fillId="3" borderId="16" xfId="0" applyFont="1" applyFill="1" applyBorder="1"/>
    <xf numFmtId="44" fontId="22" fillId="2" borderId="25" xfId="0" applyNumberFormat="1" applyFont="1" applyFill="1" applyBorder="1"/>
    <xf numFmtId="44" fontId="19" fillId="2" borderId="25" xfId="0" applyNumberFormat="1" applyFont="1" applyFill="1" applyBorder="1"/>
    <xf numFmtId="0" fontId="19" fillId="2" borderId="23" xfId="0" applyFont="1" applyFill="1" applyBorder="1"/>
    <xf numFmtId="0" fontId="19" fillId="3" borderId="21" xfId="0" applyFont="1" applyFill="1" applyBorder="1"/>
    <xf numFmtId="44" fontId="22" fillId="2" borderId="17" xfId="2" applyFont="1" applyFill="1" applyBorder="1"/>
    <xf numFmtId="44" fontId="19" fillId="2" borderId="25" xfId="2" applyFont="1" applyFill="1" applyBorder="1"/>
    <xf numFmtId="44" fontId="22" fillId="2" borderId="14" xfId="0" applyNumberFormat="1" applyFont="1" applyFill="1" applyBorder="1"/>
    <xf numFmtId="0" fontId="22" fillId="2" borderId="23" xfId="0" applyFont="1" applyFill="1" applyBorder="1" applyAlignment="1">
      <alignment wrapText="1"/>
    </xf>
    <xf numFmtId="0" fontId="23" fillId="3" borderId="16" xfId="0" applyFont="1" applyFill="1" applyBorder="1"/>
    <xf numFmtId="0" fontId="22" fillId="2" borderId="25" xfId="0" applyFont="1" applyFill="1" applyBorder="1" applyAlignment="1">
      <alignment wrapText="1"/>
    </xf>
    <xf numFmtId="0" fontId="23" fillId="3" borderId="21" xfId="0" applyFont="1" applyFill="1" applyBorder="1"/>
    <xf numFmtId="44" fontId="22" fillId="2" borderId="14" xfId="2" applyFont="1" applyFill="1" applyBorder="1"/>
    <xf numFmtId="165" fontId="19" fillId="2" borderId="14" xfId="1" applyNumberFormat="1" applyFont="1" applyFill="1" applyBorder="1"/>
    <xf numFmtId="0" fontId="22" fillId="2" borderId="14" xfId="0" applyFont="1" applyFill="1" applyBorder="1" applyAlignment="1"/>
    <xf numFmtId="0" fontId="29" fillId="2" borderId="14" xfId="0" applyFont="1" applyFill="1" applyBorder="1" applyAlignment="1">
      <alignment wrapText="1"/>
    </xf>
    <xf numFmtId="0" fontId="14" fillId="2" borderId="26" xfId="0" applyFont="1" applyFill="1" applyBorder="1" applyAlignment="1" applyProtection="1">
      <alignment horizontal="left" vertical="center" indent="15"/>
      <protection hidden="1"/>
    </xf>
    <xf numFmtId="0" fontId="11" fillId="2" borderId="27" xfId="0" applyFont="1" applyFill="1" applyBorder="1" applyAlignment="1" applyProtection="1">
      <alignment vertical="center"/>
      <protection hidden="1"/>
    </xf>
    <xf numFmtId="0" fontId="15" fillId="2" borderId="27" xfId="0" applyFont="1" applyFill="1" applyBorder="1" applyAlignment="1" applyProtection="1">
      <alignment horizontal="left" vertical="center" wrapText="1"/>
      <protection hidden="1"/>
    </xf>
    <xf numFmtId="0" fontId="15" fillId="2" borderId="27" xfId="0" applyFont="1" applyFill="1" applyBorder="1" applyAlignment="1" applyProtection="1">
      <alignment horizontal="left" vertical="center"/>
      <protection hidden="1"/>
    </xf>
    <xf numFmtId="0" fontId="15" fillId="2" borderId="27" xfId="0" applyFont="1" applyFill="1" applyBorder="1" applyAlignment="1" applyProtection="1">
      <alignment vertical="center"/>
      <protection hidden="1"/>
    </xf>
    <xf numFmtId="0" fontId="17" fillId="2" borderId="27" xfId="0" applyFont="1" applyFill="1" applyBorder="1" applyAlignment="1" applyProtection="1">
      <alignment vertical="center"/>
      <protection hidden="1"/>
    </xf>
    <xf numFmtId="49" fontId="15" fillId="2" borderId="27" xfId="0" applyNumberFormat="1" applyFont="1" applyFill="1" applyBorder="1" applyAlignment="1" applyProtection="1">
      <alignment horizontal="left" vertical="center" wrapText="1"/>
      <protection hidden="1"/>
    </xf>
    <xf numFmtId="0" fontId="17" fillId="2" borderId="27" xfId="0" applyFont="1" applyFill="1" applyBorder="1" applyAlignment="1" applyProtection="1">
      <alignment horizontal="left" vertical="center" wrapText="1"/>
      <protection hidden="1"/>
    </xf>
    <xf numFmtId="0" fontId="30" fillId="2" borderId="27" xfId="0" applyFont="1" applyFill="1" applyBorder="1" applyAlignment="1" applyProtection="1">
      <alignment vertical="center"/>
      <protection hidden="1"/>
    </xf>
    <xf numFmtId="0" fontId="31" fillId="2" borderId="27" xfId="0" applyFont="1" applyFill="1" applyBorder="1" applyAlignment="1" applyProtection="1">
      <alignment vertical="center"/>
      <protection hidden="1"/>
    </xf>
    <xf numFmtId="0" fontId="18" fillId="2" borderId="27" xfId="0" applyFont="1" applyFill="1" applyBorder="1" applyAlignment="1" applyProtection="1">
      <alignment horizontal="left" vertical="center" wrapText="1"/>
      <protection hidden="1"/>
    </xf>
    <xf numFmtId="0" fontId="12" fillId="2" borderId="28" xfId="0" applyFont="1" applyFill="1" applyBorder="1" applyAlignment="1" applyProtection="1">
      <alignment horizontal="left" vertical="center" wrapText="1"/>
      <protection hidden="1"/>
    </xf>
    <xf numFmtId="0" fontId="27" fillId="2" borderId="0" xfId="0" applyFont="1" applyFill="1" applyAlignment="1">
      <alignment horizontal="left" vertical="center" wrapText="1"/>
    </xf>
    <xf numFmtId="0" fontId="26" fillId="2" borderId="9" xfId="23" applyFont="1" applyFill="1" applyBorder="1" applyAlignment="1">
      <alignment horizontal="center" vertical="center" wrapText="1"/>
    </xf>
    <xf numFmtId="0" fontId="26" fillId="2" borderId="10" xfId="23" applyFont="1" applyFill="1" applyBorder="1" applyAlignment="1">
      <alignment horizontal="center" vertical="center" wrapText="1"/>
    </xf>
    <xf numFmtId="0" fontId="26" fillId="2" borderId="11" xfId="23" applyFont="1" applyFill="1" applyBorder="1" applyAlignment="1">
      <alignment horizontal="center" vertical="center" wrapText="1"/>
    </xf>
    <xf numFmtId="0" fontId="10" fillId="2" borderId="0" xfId="0" applyFont="1" applyFill="1" applyAlignment="1">
      <alignment horizontal="left" vertical="top" wrapText="1"/>
    </xf>
    <xf numFmtId="0" fontId="19" fillId="3" borderId="0" xfId="0" applyFont="1" applyFill="1" applyBorder="1" applyAlignment="1">
      <alignment horizontal="center"/>
    </xf>
    <xf numFmtId="0" fontId="23" fillId="3" borderId="0" xfId="0" applyFont="1" applyFill="1" applyBorder="1" applyAlignment="1">
      <alignment horizontal="center"/>
    </xf>
    <xf numFmtId="0" fontId="19" fillId="3" borderId="16" xfId="0" applyFont="1" applyFill="1" applyBorder="1" applyAlignment="1">
      <alignment horizontal="center"/>
    </xf>
    <xf numFmtId="44" fontId="19" fillId="2" borderId="19" xfId="2" applyFont="1" applyFill="1" applyBorder="1"/>
    <xf numFmtId="10" fontId="20" fillId="2" borderId="14" xfId="0" applyNumberFormat="1" applyFont="1" applyFill="1" applyBorder="1"/>
    <xf numFmtId="2" fontId="19" fillId="2" borderId="14" xfId="0" applyNumberFormat="1" applyFont="1" applyFill="1" applyBorder="1"/>
    <xf numFmtId="164" fontId="24" fillId="2" borderId="2" xfId="2" applyNumberFormat="1" applyFont="1" applyFill="1" applyBorder="1" applyAlignment="1">
      <alignment horizontal="left" vertical="center" wrapText="1" indent="2"/>
    </xf>
    <xf numFmtId="0" fontId="22" fillId="2" borderId="14" xfId="0" applyFont="1" applyFill="1" applyBorder="1" applyAlignment="1">
      <alignment horizontal="left"/>
    </xf>
  </cellXfs>
  <cellStyles count="71">
    <cellStyle name="Comma" xfId="1" builtinId="3"/>
    <cellStyle name="Currency" xfId="2" builtinId="4"/>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customBuiltin="1"/>
    <cellStyle name="Followed Hyperlink 2" xfId="25"/>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7" builtinId="8" hidden="1"/>
    <cellStyle name="Hyperlink" xfId="28" builtinId="8" hidden="1"/>
    <cellStyle name="Hyperlink" xfId="29" builtinId="8" hidden="1"/>
    <cellStyle name="Hyperlink" xfId="30" builtinId="8" hidden="1"/>
    <cellStyle name="Hyperlink" xfId="31" builtinId="8" hidden="1"/>
    <cellStyle name="Hyperlink" xfId="32" builtinId="8" hidden="1"/>
    <cellStyle name="Hyperlink" xfId="33" builtinId="8" hidden="1"/>
    <cellStyle name="Hyperlink" xfId="34" builtinId="8" hidden="1"/>
    <cellStyle name="Hyperlink" xfId="35" builtinId="8" hidden="1"/>
    <cellStyle name="Hyperlink" xfId="36" builtinId="8" hidden="1"/>
    <cellStyle name="Hyperlink" xfId="37" builtinId="8" hidden="1"/>
    <cellStyle name="Hyperlink" xfId="38" builtinId="8" hidden="1"/>
    <cellStyle name="Hyperlink" xfId="39" builtinId="8" hidden="1"/>
    <cellStyle name="Hyperlink" xfId="40" builtinId="8" hidden="1"/>
    <cellStyle name="Hyperlink" xfId="41" builtinId="8" hidden="1"/>
    <cellStyle name="Hyperlink" xfId="42" builtinId="8" hidden="1"/>
    <cellStyle name="Hyperlink" xfId="43" builtinId="8" hidden="1"/>
    <cellStyle name="Hyperlink" xfId="44" builtinId="8" hidden="1"/>
    <cellStyle name="Hyperlink" xfId="45" builtinId="8" hidden="1"/>
    <cellStyle name="Hyperlink" xfId="46" builtinId="8" hidden="1"/>
    <cellStyle name="Hyperlink" xfId="47" builtinId="8" hidden="1"/>
    <cellStyle name="Hyperlink" xfId="48" builtinId="8" hidden="1"/>
    <cellStyle name="Hyperlink" xfId="49" builtinId="8" hidden="1"/>
    <cellStyle name="Hyperlink" xfId="50" builtinId="8" hidden="1"/>
    <cellStyle name="Hyperlink" xfId="51" builtinId="8" hidden="1"/>
    <cellStyle name="Hyperlink" xfId="52" builtinId="8" hidden="1"/>
    <cellStyle name="Hyperlink" xfId="53" builtinId="8" hidden="1"/>
    <cellStyle name="Hyperlink" xfId="54" builtinId="8" hidden="1"/>
    <cellStyle name="Hyperlink" xfId="55" builtinId="8" hidden="1"/>
    <cellStyle name="Hyperlink" xfId="56" builtinId="8" hidden="1"/>
    <cellStyle name="Hyperlink" xfId="57" builtinId="8" hidden="1"/>
    <cellStyle name="Hyperlink" xfId="58" builtinId="8" hidden="1"/>
    <cellStyle name="Hyperlink" xfId="59" builtinId="8" hidden="1"/>
    <cellStyle name="Hyperlink" xfId="60" builtinId="8" hidden="1"/>
    <cellStyle name="Hyperlink" xfId="61" builtinId="8" hidden="1"/>
    <cellStyle name="Hyperlink" xfId="62" builtinId="8" hidden="1"/>
    <cellStyle name="Hyperlink" xfId="63" builtinId="8" hidden="1"/>
    <cellStyle name="Hyperlink" xfId="64" builtinId="8" hidden="1"/>
    <cellStyle name="Hyperlink" xfId="65" builtinId="8" hidden="1"/>
    <cellStyle name="Hyperlink" xfId="66" builtinId="8" hidden="1"/>
    <cellStyle name="Hyperlink" xfId="67" builtinId="8" hidden="1"/>
    <cellStyle name="Hyperlink" xfId="68" builtinId="8" hidden="1"/>
    <cellStyle name="Hyperlink" xfId="69" builtinId="8" hidden="1"/>
    <cellStyle name="Hyperlink" xfId="70" builtinId="8" hidden="1"/>
    <cellStyle name="Hyperlink 2" xfId="26"/>
    <cellStyle name="Normal" xfId="0" builtinId="0"/>
    <cellStyle name="Normal 2" xfId="23"/>
    <cellStyle name="Normal 3" xfId="4"/>
    <cellStyle name="Percent" xfId="3"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1</xdr:row>
      <xdr:rowOff>28575</xdr:rowOff>
    </xdr:from>
    <xdr:to>
      <xdr:col>1</xdr:col>
      <xdr:colOff>904875</xdr:colOff>
      <xdr:row>1</xdr:row>
      <xdr:rowOff>428037</xdr:rowOff>
    </xdr:to>
    <xdr:pic>
      <xdr:nvPicPr>
        <xdr:cNvPr id="2" name="Picture 1"/>
        <xdr:cNvPicPr>
          <a:picLocks noChangeAspect="1"/>
        </xdr:cNvPicPr>
      </xdr:nvPicPr>
      <xdr:blipFill>
        <a:blip xmlns:r="http://schemas.openxmlformats.org/officeDocument/2006/relationships" r:embed="rId1"/>
        <a:stretch>
          <a:fillRect/>
        </a:stretch>
      </xdr:blipFill>
      <xdr:spPr>
        <a:xfrm>
          <a:off x="365126" y="155575"/>
          <a:ext cx="819149" cy="399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zoomScaleNormal="100" workbookViewId="0">
      <selection activeCell="C9" sqref="C9"/>
    </sheetView>
  </sheetViews>
  <sheetFormatPr defaultColWidth="11" defaultRowHeight="15.75" x14ac:dyDescent="0.25"/>
  <cols>
    <col min="1" max="1" width="3.625" style="5" customWidth="1"/>
    <col min="2" max="2" width="111.625" style="5" customWidth="1"/>
    <col min="3" max="16384" width="11" style="5"/>
  </cols>
  <sheetData>
    <row r="1" spans="2:2" ht="10.5" customHeight="1" thickBot="1" x14ac:dyDescent="0.3"/>
    <row r="2" spans="2:2" ht="36.75" customHeight="1" x14ac:dyDescent="0.25">
      <c r="B2" s="101" t="s">
        <v>105</v>
      </c>
    </row>
    <row r="3" spans="2:2" ht="24.95" customHeight="1" x14ac:dyDescent="0.25">
      <c r="B3" s="102"/>
    </row>
    <row r="4" spans="2:2" ht="24.95" customHeight="1" x14ac:dyDescent="0.25">
      <c r="B4" s="109" t="s">
        <v>92</v>
      </c>
    </row>
    <row r="5" spans="2:2" ht="24.95" customHeight="1" x14ac:dyDescent="0.25">
      <c r="B5" s="103" t="s">
        <v>106</v>
      </c>
    </row>
    <row r="6" spans="2:2" ht="24.95" customHeight="1" x14ac:dyDescent="0.25">
      <c r="B6" s="104" t="s">
        <v>107</v>
      </c>
    </row>
    <row r="7" spans="2:2" ht="24.95" customHeight="1" x14ac:dyDescent="0.25">
      <c r="B7" s="105" t="s">
        <v>108</v>
      </c>
    </row>
    <row r="8" spans="2:2" ht="24.95" customHeight="1" x14ac:dyDescent="0.25">
      <c r="B8" s="106"/>
    </row>
    <row r="9" spans="2:2" ht="24.95" customHeight="1" x14ac:dyDescent="0.25">
      <c r="B9" s="110" t="s">
        <v>93</v>
      </c>
    </row>
    <row r="10" spans="2:2" ht="24.95" customHeight="1" x14ac:dyDescent="0.25">
      <c r="B10" s="107" t="s">
        <v>96</v>
      </c>
    </row>
    <row r="11" spans="2:2" ht="24.95" customHeight="1" x14ac:dyDescent="0.25">
      <c r="B11" s="103" t="s">
        <v>94</v>
      </c>
    </row>
    <row r="12" spans="2:2" ht="24.95" customHeight="1" x14ac:dyDescent="0.25">
      <c r="B12" s="108"/>
    </row>
    <row r="13" spans="2:2" ht="24.95" customHeight="1" x14ac:dyDescent="0.25">
      <c r="B13" s="106"/>
    </row>
    <row r="14" spans="2:2" ht="15.75" customHeight="1" x14ac:dyDescent="0.25">
      <c r="B14" s="109" t="s">
        <v>95</v>
      </c>
    </row>
    <row r="15" spans="2:2" ht="15.75" customHeight="1" x14ac:dyDescent="0.25">
      <c r="B15" s="111" t="s">
        <v>58</v>
      </c>
    </row>
    <row r="16" spans="2:2" ht="56.25" customHeight="1" thickBot="1" x14ac:dyDescent="0.3">
      <c r="B16" s="112"/>
    </row>
  </sheetData>
  <mergeCells count="1">
    <mergeCell ref="B15:B16"/>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zoomScaleNormal="100" zoomScalePageLayoutView="125" workbookViewId="0">
      <selection activeCell="F32" sqref="F32"/>
    </sheetView>
  </sheetViews>
  <sheetFormatPr defaultColWidth="11" defaultRowHeight="15.75" x14ac:dyDescent="0.25"/>
  <cols>
    <col min="1" max="1" width="2.125" style="5" customWidth="1"/>
    <col min="2" max="2" width="41.375" style="5" customWidth="1"/>
    <col min="3" max="3" width="13.375" style="5" customWidth="1"/>
    <col min="4" max="4" width="0.875" style="5" customWidth="1"/>
    <col min="5" max="5" width="12.625" style="5" customWidth="1"/>
    <col min="6" max="16384" width="11" style="5"/>
  </cols>
  <sheetData>
    <row r="2" spans="2:5" ht="34.5" customHeight="1" x14ac:dyDescent="0.25">
      <c r="B2" s="113" t="s">
        <v>109</v>
      </c>
      <c r="C2" s="113"/>
      <c r="D2" s="113"/>
      <c r="E2" s="113"/>
    </row>
    <row r="4" spans="2:5" x14ac:dyDescent="0.25">
      <c r="B4" s="6" t="s">
        <v>0</v>
      </c>
      <c r="C4" s="5">
        <f>Assumptions!C4</f>
        <v>1000</v>
      </c>
    </row>
    <row r="5" spans="2:5" ht="16.5" thickBot="1" x14ac:dyDescent="0.3"/>
    <row r="6" spans="2:5" ht="17.25" thickTop="1" thickBot="1" x14ac:dyDescent="0.3">
      <c r="B6" s="29" t="s">
        <v>57</v>
      </c>
      <c r="C6" s="114" t="s">
        <v>49</v>
      </c>
      <c r="D6" s="115"/>
      <c r="E6" s="116"/>
    </row>
    <row r="7" spans="2:5" ht="27" thickTop="1" thickBot="1" x14ac:dyDescent="0.3">
      <c r="B7" s="30" t="s">
        <v>56</v>
      </c>
      <c r="C7" s="31" t="s">
        <v>50</v>
      </c>
      <c r="D7" s="32"/>
      <c r="E7" s="31" t="s">
        <v>51</v>
      </c>
    </row>
    <row r="8" spans="2:5" x14ac:dyDescent="0.25">
      <c r="B8" s="33" t="s">
        <v>48</v>
      </c>
      <c r="C8" s="34"/>
      <c r="D8" s="35"/>
      <c r="E8" s="36"/>
    </row>
    <row r="9" spans="2:5" x14ac:dyDescent="0.25">
      <c r="B9" s="1" t="s">
        <v>52</v>
      </c>
      <c r="C9" s="8">
        <f>'Detailed Calculations'!D6</f>
        <v>19017.599999999999</v>
      </c>
      <c r="D9" s="3"/>
      <c r="E9" s="7">
        <v>0</v>
      </c>
    </row>
    <row r="10" spans="2:5" x14ac:dyDescent="0.25">
      <c r="B10" s="1" t="s">
        <v>53</v>
      </c>
      <c r="C10" s="8">
        <f>'Detailed Calculations'!D7</f>
        <v>1698.0000000000002</v>
      </c>
      <c r="D10" s="3"/>
      <c r="E10" s="7">
        <v>0</v>
      </c>
    </row>
    <row r="11" spans="2:5" x14ac:dyDescent="0.25">
      <c r="B11" s="1" t="s">
        <v>54</v>
      </c>
      <c r="C11" s="8">
        <f>'Detailed Calculations'!D8</f>
        <v>2312</v>
      </c>
      <c r="D11" s="3"/>
      <c r="E11" s="7">
        <v>0</v>
      </c>
    </row>
    <row r="12" spans="2:5" x14ac:dyDescent="0.25">
      <c r="B12" s="1" t="s">
        <v>55</v>
      </c>
      <c r="C12" s="8">
        <f>'Detailed Calculations'!D9</f>
        <v>24325.352635486266</v>
      </c>
      <c r="D12" s="3"/>
      <c r="E12" s="7">
        <v>0</v>
      </c>
    </row>
    <row r="13" spans="2:5" x14ac:dyDescent="0.25">
      <c r="B13" s="1" t="s">
        <v>97</v>
      </c>
      <c r="C13" s="8">
        <f>'Detailed Calculations'!D10</f>
        <v>4605.5199999999995</v>
      </c>
      <c r="D13" s="3"/>
      <c r="E13" s="7">
        <v>0</v>
      </c>
    </row>
    <row r="14" spans="2:5" x14ac:dyDescent="0.25">
      <c r="B14" s="1" t="s">
        <v>98</v>
      </c>
      <c r="C14" s="8">
        <f>'Detailed Calculations'!D11</f>
        <v>4735.2952635486263</v>
      </c>
      <c r="D14" s="3"/>
      <c r="E14" s="7">
        <v>0</v>
      </c>
    </row>
    <row r="15" spans="2:5" x14ac:dyDescent="0.25">
      <c r="B15" s="1" t="s">
        <v>99</v>
      </c>
      <c r="C15" s="8">
        <f>'Detailed Calculations'!D12</f>
        <v>10813.572</v>
      </c>
      <c r="D15" s="3"/>
      <c r="E15" s="7">
        <v>0</v>
      </c>
    </row>
    <row r="16" spans="2:5" x14ac:dyDescent="0.25">
      <c r="B16" s="1" t="s">
        <v>100</v>
      </c>
      <c r="C16" s="8">
        <f>'Detailed Calculations'!D13</f>
        <v>6025.7142857142862</v>
      </c>
      <c r="D16" s="3"/>
      <c r="E16" s="7">
        <v>0</v>
      </c>
    </row>
    <row r="17" spans="2:5" x14ac:dyDescent="0.25">
      <c r="B17" s="30" t="s">
        <v>42</v>
      </c>
      <c r="C17" s="8"/>
      <c r="D17" s="2"/>
      <c r="E17" s="37"/>
    </row>
    <row r="18" spans="2:5" x14ac:dyDescent="0.25">
      <c r="B18" s="1" t="s">
        <v>84</v>
      </c>
      <c r="C18" s="8">
        <f>'Detailed Calculations'!D15</f>
        <v>1875</v>
      </c>
      <c r="D18" s="3"/>
      <c r="E18" s="7">
        <v>0</v>
      </c>
    </row>
    <row r="19" spans="2:5" x14ac:dyDescent="0.25">
      <c r="B19" s="1" t="s">
        <v>85</v>
      </c>
      <c r="C19" s="8">
        <f>'Detailed Calculations'!D16</f>
        <v>2948.3333333333335</v>
      </c>
      <c r="D19" s="3"/>
      <c r="E19" s="7">
        <v>0</v>
      </c>
    </row>
    <row r="20" spans="2:5" x14ac:dyDescent="0.25">
      <c r="B20" s="1" t="s">
        <v>86</v>
      </c>
      <c r="C20" s="8">
        <f>'Detailed Calculations'!D17</f>
        <v>3000</v>
      </c>
      <c r="D20" s="3"/>
      <c r="E20" s="7">
        <v>0</v>
      </c>
    </row>
    <row r="21" spans="2:5" x14ac:dyDescent="0.25">
      <c r="B21" s="30" t="s">
        <v>83</v>
      </c>
      <c r="C21" s="38"/>
      <c r="D21" s="39"/>
      <c r="E21" s="40"/>
    </row>
    <row r="22" spans="2:5" x14ac:dyDescent="0.25">
      <c r="B22" s="1" t="s">
        <v>142</v>
      </c>
      <c r="C22" s="8">
        <f>'Detailed Calculations'!D19</f>
        <v>8333.3333333333339</v>
      </c>
      <c r="D22" s="3"/>
      <c r="E22" s="41" t="s">
        <v>120</v>
      </c>
    </row>
    <row r="23" spans="2:5" x14ac:dyDescent="0.25">
      <c r="B23" s="1" t="s">
        <v>143</v>
      </c>
      <c r="C23" s="8">
        <f>'Detailed Calculations'!D20</f>
        <v>8333.3333333333339</v>
      </c>
      <c r="D23" s="3"/>
      <c r="E23" s="41" t="s">
        <v>120</v>
      </c>
    </row>
    <row r="24" spans="2:5" x14ac:dyDescent="0.25">
      <c r="B24" s="1" t="s">
        <v>144</v>
      </c>
      <c r="C24" s="8">
        <f>'Detailed Calculations'!D21</f>
        <v>8333.3333333333339</v>
      </c>
      <c r="D24" s="3"/>
      <c r="E24" s="124">
        <f>C24</f>
        <v>8333.3333333333339</v>
      </c>
    </row>
    <row r="25" spans="2:5" ht="16.5" thickBot="1" x14ac:dyDescent="0.3">
      <c r="B25" s="30" t="s">
        <v>121</v>
      </c>
      <c r="C25" s="38">
        <v>0</v>
      </c>
      <c r="D25" s="42"/>
      <c r="E25" s="38">
        <f>Assumptions!C4*Assumptions!C15</f>
        <v>35000</v>
      </c>
    </row>
    <row r="26" spans="2:5" ht="17.25" thickTop="1" thickBot="1" x14ac:dyDescent="0.3">
      <c r="B26" s="29" t="s">
        <v>87</v>
      </c>
      <c r="C26" s="43">
        <f>SUM(C9:C25)</f>
        <v>106356.38751808248</v>
      </c>
      <c r="D26" s="44"/>
      <c r="E26" s="43">
        <f>SUM(E9:E25)</f>
        <v>43333.333333333336</v>
      </c>
    </row>
    <row r="27" spans="2:5" ht="17.25" thickTop="1" thickBot="1" x14ac:dyDescent="0.3">
      <c r="B27" s="45" t="s">
        <v>122</v>
      </c>
      <c r="C27" s="46"/>
      <c r="D27" s="47"/>
      <c r="E27" s="48">
        <f>(C26-E26)/C26</f>
        <v>0.59256482525823007</v>
      </c>
    </row>
    <row r="28" spans="2:5" ht="16.5" thickTop="1" x14ac:dyDescent="0.25"/>
    <row r="29" spans="2:5" x14ac:dyDescent="0.25">
      <c r="B29" s="117"/>
      <c r="C29" s="117"/>
      <c r="D29" s="117"/>
      <c r="E29" s="117"/>
    </row>
    <row r="30" spans="2:5" x14ac:dyDescent="0.25">
      <c r="B30" s="117"/>
      <c r="C30" s="117"/>
      <c r="D30" s="117"/>
      <c r="E30" s="117"/>
    </row>
    <row r="31" spans="2:5" x14ac:dyDescent="0.25">
      <c r="B31" s="117"/>
      <c r="C31" s="117"/>
      <c r="D31" s="117"/>
      <c r="E31" s="117"/>
    </row>
    <row r="32" spans="2:5" x14ac:dyDescent="0.25">
      <c r="B32" s="117"/>
      <c r="C32" s="117"/>
      <c r="D32" s="117"/>
      <c r="E32" s="117"/>
    </row>
    <row r="33" spans="2:5" x14ac:dyDescent="0.25">
      <c r="B33" s="117"/>
      <c r="C33" s="117"/>
      <c r="D33" s="117"/>
      <c r="E33" s="117"/>
    </row>
    <row r="34" spans="2:5" x14ac:dyDescent="0.25">
      <c r="B34" s="117"/>
      <c r="C34" s="117"/>
      <c r="D34" s="117"/>
      <c r="E34" s="117"/>
    </row>
  </sheetData>
  <mergeCells count="3">
    <mergeCell ref="B2:E2"/>
    <mergeCell ref="C6:E6"/>
    <mergeCell ref="B29:E3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4"/>
  <sheetViews>
    <sheetView zoomScaleNormal="100" zoomScalePageLayoutView="125" workbookViewId="0">
      <selection activeCell="C12" sqref="C12"/>
    </sheetView>
  </sheetViews>
  <sheetFormatPr defaultColWidth="10.875" defaultRowHeight="15.75" x14ac:dyDescent="0.25"/>
  <cols>
    <col min="1" max="1" width="2.375" style="5" customWidth="1"/>
    <col min="2" max="2" width="39.375" style="5" customWidth="1"/>
    <col min="3" max="3" width="23.625" style="5" customWidth="1"/>
    <col min="4" max="4" width="16.5" style="5" customWidth="1"/>
    <col min="5" max="5" width="20.625" style="5" customWidth="1"/>
    <col min="6" max="16384" width="10.875" style="5"/>
  </cols>
  <sheetData>
    <row r="2" spans="2:3" ht="18" x14ac:dyDescent="0.25">
      <c r="B2" s="49" t="s">
        <v>110</v>
      </c>
      <c r="C2" s="9" t="s">
        <v>124</v>
      </c>
    </row>
    <row r="4" spans="2:3" x14ac:dyDescent="0.25">
      <c r="B4" s="10" t="s">
        <v>0</v>
      </c>
      <c r="C4" s="11">
        <v>1000</v>
      </c>
    </row>
    <row r="5" spans="2:3" x14ac:dyDescent="0.25">
      <c r="B5" s="10" t="s">
        <v>17</v>
      </c>
      <c r="C5" s="11">
        <v>12</v>
      </c>
    </row>
    <row r="6" spans="2:3" x14ac:dyDescent="0.25">
      <c r="B6" s="10" t="s">
        <v>18</v>
      </c>
      <c r="C6" s="11">
        <v>50</v>
      </c>
    </row>
    <row r="7" spans="2:3" x14ac:dyDescent="0.25">
      <c r="B7" s="10" t="s">
        <v>59</v>
      </c>
      <c r="C7" s="11">
        <v>50</v>
      </c>
    </row>
    <row r="8" spans="2:3" ht="26.25" x14ac:dyDescent="0.25">
      <c r="B8" s="12" t="s">
        <v>19</v>
      </c>
      <c r="C8" s="11">
        <v>6</v>
      </c>
    </row>
    <row r="9" spans="2:3" x14ac:dyDescent="0.25">
      <c r="B9" s="12" t="s">
        <v>20</v>
      </c>
      <c r="C9" s="11">
        <v>2</v>
      </c>
    </row>
    <row r="10" spans="2:3" x14ac:dyDescent="0.25">
      <c r="B10" s="12" t="s">
        <v>21</v>
      </c>
      <c r="C10" s="11">
        <v>3</v>
      </c>
    </row>
    <row r="11" spans="2:3" ht="26.25" x14ac:dyDescent="0.25">
      <c r="B11" s="12" t="s">
        <v>118</v>
      </c>
      <c r="C11" s="11">
        <v>1000</v>
      </c>
    </row>
    <row r="12" spans="2:3" ht="26.25" x14ac:dyDescent="0.25">
      <c r="B12" s="12" t="s">
        <v>119</v>
      </c>
      <c r="C12" s="11">
        <v>2</v>
      </c>
    </row>
    <row r="13" spans="2:3" x14ac:dyDescent="0.25">
      <c r="B13" s="13"/>
      <c r="C13" s="14"/>
    </row>
    <row r="14" spans="2:3" x14ac:dyDescent="0.25">
      <c r="B14" s="15" t="s">
        <v>51</v>
      </c>
      <c r="C14" s="16" t="s">
        <v>104</v>
      </c>
    </row>
    <row r="15" spans="2:3" x14ac:dyDescent="0.25">
      <c r="B15" s="12" t="s">
        <v>103</v>
      </c>
      <c r="C15" s="17">
        <v>35</v>
      </c>
    </row>
    <row r="17" spans="2:5" x14ac:dyDescent="0.25">
      <c r="B17" s="18" t="s">
        <v>1</v>
      </c>
      <c r="C17" s="19" t="s">
        <v>4</v>
      </c>
      <c r="D17" s="99" t="s">
        <v>5</v>
      </c>
      <c r="E17" s="15" t="s">
        <v>6</v>
      </c>
    </row>
    <row r="18" spans="2:5" ht="24.95" customHeight="1" x14ac:dyDescent="0.25">
      <c r="B18" s="12" t="s">
        <v>7</v>
      </c>
      <c r="C18" s="12" t="s">
        <v>8</v>
      </c>
      <c r="D18" s="20">
        <v>2264</v>
      </c>
      <c r="E18" s="17" t="s">
        <v>9</v>
      </c>
    </row>
    <row r="19" spans="2:5" ht="24.95" customHeight="1" x14ac:dyDescent="0.25">
      <c r="B19" s="10" t="s">
        <v>102</v>
      </c>
      <c r="C19" s="12" t="s">
        <v>10</v>
      </c>
      <c r="D19" s="20">
        <v>9248</v>
      </c>
      <c r="E19" s="17" t="s">
        <v>9</v>
      </c>
    </row>
    <row r="20" spans="2:5" ht="24.95" customHeight="1" x14ac:dyDescent="0.25">
      <c r="B20" s="12" t="s">
        <v>91</v>
      </c>
      <c r="C20" s="12" t="s">
        <v>11</v>
      </c>
      <c r="D20" s="20">
        <f>22500/3</f>
        <v>7500</v>
      </c>
      <c r="E20" s="17" t="s">
        <v>12</v>
      </c>
    </row>
    <row r="21" spans="2:5" ht="24.95" customHeight="1" x14ac:dyDescent="0.25">
      <c r="B21" s="12" t="s">
        <v>90</v>
      </c>
      <c r="C21" s="12" t="s">
        <v>13</v>
      </c>
      <c r="D21" s="20">
        <v>35.380000000000003</v>
      </c>
      <c r="E21" s="17" t="s">
        <v>14</v>
      </c>
    </row>
    <row r="22" spans="2:5" ht="24.95" customHeight="1" x14ac:dyDescent="0.25">
      <c r="B22" s="10" t="s">
        <v>89</v>
      </c>
      <c r="C22" s="12" t="s">
        <v>13</v>
      </c>
      <c r="D22" s="20">
        <v>36</v>
      </c>
      <c r="E22" s="17" t="s">
        <v>14</v>
      </c>
    </row>
    <row r="23" spans="2:5" ht="24.95" customHeight="1" x14ac:dyDescent="0.25">
      <c r="B23" s="10" t="s">
        <v>15</v>
      </c>
      <c r="C23" s="12" t="s">
        <v>16</v>
      </c>
      <c r="D23" s="20">
        <f>52426/35.92</f>
        <v>1459.5211581291758</v>
      </c>
      <c r="E23" s="17" t="s">
        <v>9</v>
      </c>
    </row>
    <row r="25" spans="2:5" x14ac:dyDescent="0.25">
      <c r="B25" s="18" t="s">
        <v>1</v>
      </c>
      <c r="C25" s="18" t="s">
        <v>23</v>
      </c>
    </row>
    <row r="26" spans="2:5" x14ac:dyDescent="0.25">
      <c r="B26" s="10" t="s">
        <v>27</v>
      </c>
      <c r="C26" s="21">
        <v>0.2</v>
      </c>
    </row>
    <row r="27" spans="2:5" ht="26.25" x14ac:dyDescent="0.25">
      <c r="B27" s="12" t="s">
        <v>19</v>
      </c>
      <c r="C27" s="21">
        <v>0.5</v>
      </c>
    </row>
    <row r="28" spans="2:5" x14ac:dyDescent="0.25">
      <c r="B28" s="10" t="s">
        <v>132</v>
      </c>
      <c r="C28" s="22">
        <v>0.5</v>
      </c>
    </row>
    <row r="29" spans="2:5" x14ac:dyDescent="0.25">
      <c r="B29" s="10" t="s">
        <v>60</v>
      </c>
      <c r="C29" s="22">
        <v>1</v>
      </c>
    </row>
    <row r="30" spans="2:5" x14ac:dyDescent="0.25">
      <c r="B30" s="23"/>
      <c r="C30" s="23"/>
    </row>
    <row r="31" spans="2:5" x14ac:dyDescent="0.25">
      <c r="B31" s="84" t="s">
        <v>131</v>
      </c>
      <c r="C31" s="18" t="s">
        <v>4</v>
      </c>
      <c r="D31" s="15" t="s">
        <v>6</v>
      </c>
    </row>
    <row r="32" spans="2:5" x14ac:dyDescent="0.25">
      <c r="B32" s="10" t="s">
        <v>62</v>
      </c>
      <c r="C32" s="22">
        <v>0.2</v>
      </c>
      <c r="D32" s="17" t="s">
        <v>135</v>
      </c>
    </row>
    <row r="33" spans="2:4" x14ac:dyDescent="0.25">
      <c r="B33" s="23"/>
      <c r="C33" s="23"/>
    </row>
    <row r="34" spans="2:4" x14ac:dyDescent="0.25">
      <c r="B34" s="84" t="s">
        <v>130</v>
      </c>
      <c r="C34" s="18" t="s">
        <v>4</v>
      </c>
      <c r="D34" s="15" t="s">
        <v>6</v>
      </c>
    </row>
    <row r="35" spans="2:4" x14ac:dyDescent="0.25">
      <c r="B35" s="10" t="s">
        <v>62</v>
      </c>
      <c r="C35" s="22">
        <v>0.1</v>
      </c>
      <c r="D35" s="17" t="s">
        <v>135</v>
      </c>
    </row>
    <row r="36" spans="2:4" x14ac:dyDescent="0.25">
      <c r="B36" s="23"/>
      <c r="C36" s="24"/>
    </row>
    <row r="37" spans="2:4" x14ac:dyDescent="0.25">
      <c r="B37" s="18" t="s">
        <v>63</v>
      </c>
      <c r="C37" s="25" t="s">
        <v>4</v>
      </c>
    </row>
    <row r="38" spans="2:4" x14ac:dyDescent="0.25">
      <c r="B38" s="10" t="s">
        <v>72</v>
      </c>
      <c r="C38" s="11">
        <v>750</v>
      </c>
    </row>
    <row r="39" spans="2:4" x14ac:dyDescent="0.25">
      <c r="B39" s="10" t="s">
        <v>35</v>
      </c>
      <c r="C39" s="11">
        <v>0.5</v>
      </c>
    </row>
    <row r="40" spans="2:4" x14ac:dyDescent="0.25">
      <c r="B40" s="10" t="s">
        <v>36</v>
      </c>
      <c r="C40" s="11">
        <v>2.5</v>
      </c>
    </row>
    <row r="41" spans="2:4" x14ac:dyDescent="0.25">
      <c r="B41" s="10" t="s">
        <v>37</v>
      </c>
      <c r="C41" s="17">
        <v>0.1</v>
      </c>
    </row>
    <row r="42" spans="2:4" x14ac:dyDescent="0.25">
      <c r="B42" s="23"/>
      <c r="C42" s="26"/>
    </row>
    <row r="43" spans="2:4" x14ac:dyDescent="0.25">
      <c r="B43" s="18" t="s">
        <v>67</v>
      </c>
      <c r="C43" s="18" t="s">
        <v>4</v>
      </c>
    </row>
    <row r="44" spans="2:4" x14ac:dyDescent="0.25">
      <c r="B44" s="10" t="s">
        <v>68</v>
      </c>
      <c r="C44" s="27">
        <v>23000</v>
      </c>
    </row>
    <row r="45" spans="2:4" x14ac:dyDescent="0.25">
      <c r="B45" s="10" t="s">
        <v>69</v>
      </c>
      <c r="C45" s="11">
        <v>15</v>
      </c>
    </row>
    <row r="46" spans="2:4" x14ac:dyDescent="0.25">
      <c r="B46" s="10" t="s">
        <v>74</v>
      </c>
      <c r="C46" s="11">
        <v>119</v>
      </c>
    </row>
    <row r="47" spans="2:4" x14ac:dyDescent="0.25">
      <c r="B47" s="10" t="s">
        <v>78</v>
      </c>
      <c r="C47" s="11">
        <v>42</v>
      </c>
    </row>
    <row r="48" spans="2:4" x14ac:dyDescent="0.25">
      <c r="B48" s="10" t="s">
        <v>79</v>
      </c>
      <c r="C48" s="11">
        <v>22</v>
      </c>
    </row>
    <row r="49" spans="2:3" x14ac:dyDescent="0.25">
      <c r="B49" s="12" t="s">
        <v>80</v>
      </c>
      <c r="C49" s="28">
        <v>300</v>
      </c>
    </row>
    <row r="51" spans="2:3" x14ac:dyDescent="0.25">
      <c r="B51" s="18" t="s">
        <v>136</v>
      </c>
      <c r="C51" s="18" t="s">
        <v>4</v>
      </c>
    </row>
    <row r="52" spans="2:3" x14ac:dyDescent="0.25">
      <c r="B52" s="10" t="s">
        <v>137</v>
      </c>
      <c r="C52" s="122">
        <v>0.33333333333333331</v>
      </c>
    </row>
    <row r="53" spans="2:3" x14ac:dyDescent="0.25">
      <c r="B53" s="10" t="s">
        <v>138</v>
      </c>
      <c r="C53" s="122">
        <v>0.33333333333333331</v>
      </c>
    </row>
    <row r="54" spans="2:3" x14ac:dyDescent="0.25">
      <c r="B54" s="10" t="s">
        <v>139</v>
      </c>
      <c r="C54" s="122">
        <v>0.33333333333333331</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tabSelected="1" topLeftCell="A39" zoomScaleNormal="100" zoomScalePageLayoutView="115" workbookViewId="0">
      <selection activeCell="J52" sqref="J52"/>
    </sheetView>
  </sheetViews>
  <sheetFormatPr defaultColWidth="11" defaultRowHeight="15.75" x14ac:dyDescent="0.25"/>
  <cols>
    <col min="1" max="1" width="2.375" style="5" customWidth="1"/>
    <col min="2" max="2" width="59.5" style="5" customWidth="1"/>
    <col min="3" max="3" width="24" style="5" bestFit="1" customWidth="1"/>
    <col min="4" max="4" width="20.125" style="5" customWidth="1"/>
    <col min="5" max="5" width="24.625" style="5" bestFit="1" customWidth="1"/>
    <col min="6" max="6" width="16.875" style="5" bestFit="1" customWidth="1"/>
    <col min="7" max="7" width="12.5" style="5" bestFit="1" customWidth="1"/>
    <col min="8" max="8" width="17.375" style="5" bestFit="1" customWidth="1"/>
    <col min="9" max="9" width="11" style="5"/>
    <col min="10" max="10" width="22.875" style="5" customWidth="1"/>
    <col min="11" max="11" width="15.625" style="5" bestFit="1" customWidth="1"/>
    <col min="12" max="16384" width="11" style="5"/>
  </cols>
  <sheetData>
    <row r="2" spans="2:6" ht="18" x14ac:dyDescent="0.25">
      <c r="B2" s="113" t="s">
        <v>116</v>
      </c>
      <c r="C2" s="113"/>
      <c r="D2" s="23"/>
      <c r="F2" s="61"/>
    </row>
    <row r="3" spans="2:6" x14ac:dyDescent="0.25">
      <c r="B3" s="23"/>
      <c r="C3" s="23"/>
      <c r="D3" s="23"/>
      <c r="F3" s="61"/>
    </row>
    <row r="4" spans="2:6" x14ac:dyDescent="0.25">
      <c r="B4" s="68" t="s">
        <v>125</v>
      </c>
      <c r="C4" s="69" t="s">
        <v>88</v>
      </c>
      <c r="D4" s="70" t="s">
        <v>101</v>
      </c>
      <c r="F4" s="61"/>
    </row>
    <row r="5" spans="2:6" x14ac:dyDescent="0.25">
      <c r="B5" s="71" t="s">
        <v>48</v>
      </c>
      <c r="C5" s="72"/>
      <c r="D5" s="73"/>
    </row>
    <row r="6" spans="2:6" x14ac:dyDescent="0.25">
      <c r="B6" s="4" t="s">
        <v>52</v>
      </c>
      <c r="C6" s="74">
        <f>H26</f>
        <v>19.017599999999998</v>
      </c>
      <c r="D6" s="75">
        <f>C6*Assumptions!$C$4</f>
        <v>19017.599999999999</v>
      </c>
    </row>
    <row r="7" spans="2:6" x14ac:dyDescent="0.25">
      <c r="B7" s="4" t="s">
        <v>53</v>
      </c>
      <c r="C7" s="74">
        <f>H27</f>
        <v>1.6980000000000002</v>
      </c>
      <c r="D7" s="75">
        <f>C7*Assumptions!$C$4</f>
        <v>1698.0000000000002</v>
      </c>
    </row>
    <row r="8" spans="2:6" x14ac:dyDescent="0.25">
      <c r="B8" s="4" t="s">
        <v>54</v>
      </c>
      <c r="C8" s="74">
        <f>H28</f>
        <v>2.3119999999999998</v>
      </c>
      <c r="D8" s="75">
        <f>C8*Assumptions!$C$4</f>
        <v>2312</v>
      </c>
    </row>
    <row r="9" spans="2:6" x14ac:dyDescent="0.25">
      <c r="B9" s="4" t="s">
        <v>55</v>
      </c>
      <c r="C9" s="74">
        <f>H33</f>
        <v>24.325352635486265</v>
      </c>
      <c r="D9" s="75">
        <f>C9*Assumptions!$C$4</f>
        <v>24325.352635486266</v>
      </c>
    </row>
    <row r="10" spans="2:6" x14ac:dyDescent="0.25">
      <c r="B10" s="4" t="s">
        <v>111</v>
      </c>
      <c r="C10" s="74">
        <f>H37</f>
        <v>4.6055199999999994</v>
      </c>
      <c r="D10" s="75">
        <f>C10*Assumptions!$C$4</f>
        <v>4605.5199999999995</v>
      </c>
    </row>
    <row r="11" spans="2:6" x14ac:dyDescent="0.25">
      <c r="B11" s="4" t="s">
        <v>112</v>
      </c>
      <c r="C11" s="74">
        <f>H41</f>
        <v>4.7352952635486263</v>
      </c>
      <c r="D11" s="75">
        <f>C11*Assumptions!$C$4</f>
        <v>4735.2952635486263</v>
      </c>
    </row>
    <row r="12" spans="2:6" x14ac:dyDescent="0.25">
      <c r="B12" s="4" t="s">
        <v>113</v>
      </c>
      <c r="C12" s="74">
        <f>H45</f>
        <v>10.813572000000001</v>
      </c>
      <c r="D12" s="75">
        <f>C12*Assumptions!$C$4</f>
        <v>10813.572</v>
      </c>
    </row>
    <row r="13" spans="2:6" x14ac:dyDescent="0.25">
      <c r="B13" s="4" t="s">
        <v>114</v>
      </c>
      <c r="C13" s="74">
        <f>H51</f>
        <v>6.0257142857142858</v>
      </c>
      <c r="D13" s="75">
        <f>C13*Assumptions!$C$4</f>
        <v>6025.7142857142862</v>
      </c>
    </row>
    <row r="14" spans="2:6" x14ac:dyDescent="0.25">
      <c r="B14" s="71" t="s">
        <v>42</v>
      </c>
      <c r="C14" s="72"/>
      <c r="D14" s="73"/>
    </row>
    <row r="15" spans="2:6" x14ac:dyDescent="0.25">
      <c r="B15" s="4" t="s">
        <v>84</v>
      </c>
      <c r="C15" s="74">
        <f>H54</f>
        <v>1.875</v>
      </c>
      <c r="D15" s="75">
        <f>C15*Assumptions!$C$4</f>
        <v>1875</v>
      </c>
    </row>
    <row r="16" spans="2:6" x14ac:dyDescent="0.25">
      <c r="B16" s="4" t="s">
        <v>85</v>
      </c>
      <c r="C16" s="74">
        <f>H55</f>
        <v>2.9483333333333337</v>
      </c>
      <c r="D16" s="75">
        <f>C16*Assumptions!$C$4</f>
        <v>2948.3333333333335</v>
      </c>
    </row>
    <row r="17" spans="2:13" x14ac:dyDescent="0.25">
      <c r="B17" s="4" t="s">
        <v>86</v>
      </c>
      <c r="C17" s="74">
        <f>H56</f>
        <v>3</v>
      </c>
      <c r="D17" s="75">
        <f>C17*Assumptions!$C$4</f>
        <v>3000</v>
      </c>
    </row>
    <row r="18" spans="2:13" x14ac:dyDescent="0.25">
      <c r="B18" s="71" t="s">
        <v>83</v>
      </c>
      <c r="C18" s="72"/>
      <c r="D18" s="73"/>
    </row>
    <row r="19" spans="2:13" x14ac:dyDescent="0.25">
      <c r="B19" s="4" t="s">
        <v>142</v>
      </c>
      <c r="C19" s="74">
        <f>H59</f>
        <v>8.3333333333333339</v>
      </c>
      <c r="D19" s="121">
        <f>C19*Assumptions!$C$4</f>
        <v>8333.3333333333339</v>
      </c>
    </row>
    <row r="20" spans="2:13" x14ac:dyDescent="0.25">
      <c r="B20" s="4" t="s">
        <v>143</v>
      </c>
      <c r="C20" s="74">
        <f>H60</f>
        <v>8.3333333333333339</v>
      </c>
      <c r="D20" s="121">
        <f>C20*Assumptions!$C$4</f>
        <v>8333.3333333333339</v>
      </c>
    </row>
    <row r="21" spans="2:13" x14ac:dyDescent="0.25">
      <c r="B21" s="76" t="s">
        <v>144</v>
      </c>
      <c r="C21" s="77">
        <f>H61</f>
        <v>8.3333333333333339</v>
      </c>
      <c r="D21" s="78">
        <f>C21*Assumptions!$C$4</f>
        <v>8333.3333333333339</v>
      </c>
    </row>
    <row r="23" spans="2:13" ht="18" x14ac:dyDescent="0.25">
      <c r="B23" s="113" t="s">
        <v>115</v>
      </c>
      <c r="C23" s="113"/>
      <c r="D23" s="23"/>
      <c r="E23" s="23"/>
      <c r="F23" s="23"/>
      <c r="G23" s="23"/>
      <c r="H23" s="23"/>
    </row>
    <row r="24" spans="2:13" x14ac:dyDescent="0.25">
      <c r="B24" s="51"/>
      <c r="C24" s="52"/>
      <c r="D24" s="23"/>
      <c r="E24" s="23"/>
      <c r="F24" s="23"/>
      <c r="G24" s="23"/>
      <c r="H24" s="23"/>
    </row>
    <row r="25" spans="2:13" x14ac:dyDescent="0.25">
      <c r="B25" s="84" t="s">
        <v>126</v>
      </c>
      <c r="C25" s="18" t="s">
        <v>22</v>
      </c>
      <c r="D25" s="18" t="s">
        <v>23</v>
      </c>
      <c r="E25" s="15" t="s">
        <v>24</v>
      </c>
      <c r="F25" s="97" t="s">
        <v>25</v>
      </c>
      <c r="G25" s="18" t="s">
        <v>26</v>
      </c>
      <c r="H25" s="18" t="s">
        <v>2</v>
      </c>
    </row>
    <row r="26" spans="2:13" x14ac:dyDescent="0.25">
      <c r="B26" s="10" t="s">
        <v>27</v>
      </c>
      <c r="C26" s="54">
        <f>ROUNDUP(Assumptions!$C$4/Assumptions!C5,0)</f>
        <v>84</v>
      </c>
      <c r="D26" s="55">
        <f>Assumptions!C26</f>
        <v>0.2</v>
      </c>
      <c r="E26" s="54">
        <f>C26*(1+D26)</f>
        <v>100.8</v>
      </c>
      <c r="F26" s="56">
        <f>Assumptions!D18</f>
        <v>2264</v>
      </c>
      <c r="G26" s="57">
        <f>E26*F26</f>
        <v>228211.19999999998</v>
      </c>
      <c r="H26" s="63">
        <f>G26/Assumptions!$C$4/12</f>
        <v>19.017599999999998</v>
      </c>
    </row>
    <row r="27" spans="2:13" x14ac:dyDescent="0.25">
      <c r="B27" s="12" t="s">
        <v>19</v>
      </c>
      <c r="C27" s="10">
        <f>Assumptions!C8*ROUNDUP(Assumptions!C4/Assumptions!C11,0)</f>
        <v>6</v>
      </c>
      <c r="D27" s="55">
        <f>Assumptions!C27</f>
        <v>0.5</v>
      </c>
      <c r="E27" s="54">
        <f>C27*(1+D27)</f>
        <v>9</v>
      </c>
      <c r="F27" s="56">
        <f>Assumptions!D18</f>
        <v>2264</v>
      </c>
      <c r="G27" s="57">
        <f>E27*F27</f>
        <v>20376</v>
      </c>
      <c r="H27" s="63">
        <f>G27/Assumptions!$C$4/12</f>
        <v>1.6980000000000002</v>
      </c>
    </row>
    <row r="28" spans="2:13" x14ac:dyDescent="0.25">
      <c r="B28" s="10" t="s">
        <v>128</v>
      </c>
      <c r="C28" s="10">
        <f>Assumptions!C9*ROUNDUP(Assumptions!C4/Assumptions!C11,0)</f>
        <v>2</v>
      </c>
      <c r="D28" s="55">
        <f>Assumptions!C28</f>
        <v>0.5</v>
      </c>
      <c r="E28" s="54">
        <f>C28*(1+D28)</f>
        <v>3</v>
      </c>
      <c r="F28" s="56">
        <f>Assumptions!D19</f>
        <v>9248</v>
      </c>
      <c r="G28" s="57">
        <f>E28*F28</f>
        <v>27744</v>
      </c>
      <c r="H28" s="63">
        <f>G28/Assumptions!$C$4/12</f>
        <v>2.3119999999999998</v>
      </c>
    </row>
    <row r="29" spans="2:13" x14ac:dyDescent="0.25">
      <c r="B29" s="18" t="s">
        <v>3</v>
      </c>
      <c r="C29" s="10"/>
      <c r="D29" s="10"/>
      <c r="E29" s="98">
        <f>SUM(E26:E28)</f>
        <v>112.8</v>
      </c>
      <c r="F29" s="10"/>
      <c r="G29" s="57">
        <f>SUM(G26:G28)</f>
        <v>276331.19999999995</v>
      </c>
      <c r="H29" s="92">
        <f>SUM(H26:H28)</f>
        <v>23.0276</v>
      </c>
    </row>
    <row r="30" spans="2:13" x14ac:dyDescent="0.25">
      <c r="B30" s="23"/>
      <c r="C30" s="23"/>
      <c r="D30" s="23"/>
      <c r="E30" s="23"/>
      <c r="F30" s="23"/>
      <c r="G30" s="23"/>
      <c r="H30" s="60"/>
      <c r="M30" s="61"/>
    </row>
    <row r="31" spans="2:13" x14ac:dyDescent="0.25">
      <c r="B31" s="84" t="s">
        <v>127</v>
      </c>
      <c r="C31" s="18" t="s">
        <v>22</v>
      </c>
      <c r="D31" s="18" t="s">
        <v>23</v>
      </c>
      <c r="E31" s="15" t="s">
        <v>24</v>
      </c>
      <c r="F31" s="97" t="s">
        <v>117</v>
      </c>
      <c r="G31" s="18" t="s">
        <v>26</v>
      </c>
      <c r="H31" s="18" t="s">
        <v>2</v>
      </c>
      <c r="M31" s="61"/>
    </row>
    <row r="32" spans="2:13" x14ac:dyDescent="0.25">
      <c r="B32" s="12" t="s">
        <v>28</v>
      </c>
      <c r="C32" s="10">
        <f>SUM(Assumptions!C6:C7)*Assumptions!C4/1000</f>
        <v>100</v>
      </c>
      <c r="D32" s="62">
        <f>Assumptions!C29</f>
        <v>1</v>
      </c>
      <c r="E32" s="54">
        <f>C32*(1+D32)</f>
        <v>200</v>
      </c>
      <c r="F32" s="56">
        <f>Assumptions!D23</f>
        <v>1459.5211581291758</v>
      </c>
      <c r="G32" s="63">
        <f>F32*E32</f>
        <v>291904.23162583518</v>
      </c>
      <c r="H32" s="63">
        <f>G32/Assumptions!C4/12</f>
        <v>24.325352635486265</v>
      </c>
      <c r="M32" s="61"/>
    </row>
    <row r="33" spans="2:13" x14ac:dyDescent="0.25">
      <c r="B33" s="18" t="s">
        <v>3</v>
      </c>
      <c r="C33" s="10"/>
      <c r="D33" s="10"/>
      <c r="E33" s="10"/>
      <c r="F33" s="10"/>
      <c r="G33" s="57">
        <f>SUM(G30:G32)</f>
        <v>291904.23162583518</v>
      </c>
      <c r="H33" s="92">
        <f>SUM(H32)</f>
        <v>24.325352635486265</v>
      </c>
      <c r="M33" s="61"/>
    </row>
    <row r="34" spans="2:13" x14ac:dyDescent="0.25">
      <c r="B34" s="23"/>
      <c r="C34" s="23"/>
      <c r="D34" s="23"/>
      <c r="E34" s="23"/>
      <c r="F34" s="23"/>
      <c r="G34" s="23"/>
      <c r="H34" s="60"/>
      <c r="L34" s="61"/>
    </row>
    <row r="35" spans="2:13" ht="18" customHeight="1" x14ac:dyDescent="0.25">
      <c r="B35" s="84" t="s">
        <v>31</v>
      </c>
      <c r="C35" s="100" t="s">
        <v>133</v>
      </c>
      <c r="D35" s="15" t="s">
        <v>29</v>
      </c>
      <c r="E35" s="93" t="s">
        <v>30</v>
      </c>
      <c r="F35" s="94"/>
      <c r="G35" s="94"/>
      <c r="H35" s="95" t="s">
        <v>2</v>
      </c>
      <c r="L35" s="61"/>
    </row>
    <row r="36" spans="2:13" x14ac:dyDescent="0.25">
      <c r="B36" s="10" t="s">
        <v>61</v>
      </c>
      <c r="C36" s="55">
        <f>Assumptions!C32</f>
        <v>0.2</v>
      </c>
      <c r="D36" s="57">
        <f>$G$29</f>
        <v>276331.19999999995</v>
      </c>
      <c r="E36" s="58">
        <f>C36*D36</f>
        <v>55266.239999999991</v>
      </c>
      <c r="F36" s="119" t="s">
        <v>123</v>
      </c>
      <c r="G36" s="119"/>
      <c r="H36" s="87">
        <f>E36/Assumptions!$C$4/12</f>
        <v>4.6055199999999994</v>
      </c>
      <c r="L36" s="61"/>
    </row>
    <row r="37" spans="2:13" x14ac:dyDescent="0.25">
      <c r="B37" s="18" t="s">
        <v>3</v>
      </c>
      <c r="C37" s="10"/>
      <c r="D37" s="57">
        <f>SUM(D36)</f>
        <v>276331.19999999995</v>
      </c>
      <c r="E37" s="58">
        <f>SUM(E36)</f>
        <v>55266.239999999991</v>
      </c>
      <c r="F37" s="96"/>
      <c r="G37" s="96"/>
      <c r="H37" s="86">
        <f>SUM(H36)</f>
        <v>4.6055199999999994</v>
      </c>
      <c r="L37" s="61"/>
    </row>
    <row r="38" spans="2:13" x14ac:dyDescent="0.25">
      <c r="B38" s="50"/>
      <c r="C38" s="23"/>
      <c r="D38" s="60"/>
      <c r="E38" s="60"/>
      <c r="F38" s="23"/>
      <c r="G38" s="23"/>
      <c r="H38" s="60"/>
      <c r="L38" s="61"/>
    </row>
    <row r="39" spans="2:13" ht="30.95" customHeight="1" x14ac:dyDescent="0.25">
      <c r="B39" s="84" t="s">
        <v>34</v>
      </c>
      <c r="C39" s="100" t="s">
        <v>134</v>
      </c>
      <c r="D39" s="15" t="s">
        <v>32</v>
      </c>
      <c r="E39" s="93" t="s">
        <v>33</v>
      </c>
      <c r="F39" s="85"/>
      <c r="G39" s="85"/>
      <c r="H39" s="86" t="s">
        <v>2</v>
      </c>
      <c r="L39" s="61"/>
    </row>
    <row r="40" spans="2:13" x14ac:dyDescent="0.25">
      <c r="B40" s="10" t="s">
        <v>129</v>
      </c>
      <c r="C40" s="55">
        <f>Assumptions!C35</f>
        <v>0.1</v>
      </c>
      <c r="D40" s="63">
        <f>G29+G32</f>
        <v>568235.43162583513</v>
      </c>
      <c r="E40" s="58">
        <f>C40*D40</f>
        <v>56823.543162583519</v>
      </c>
      <c r="F40" s="118" t="s">
        <v>123</v>
      </c>
      <c r="G40" s="118"/>
      <c r="H40" s="87">
        <f>E40/Assumptions!$C$4/12</f>
        <v>4.7352952635486263</v>
      </c>
      <c r="L40" s="61"/>
    </row>
    <row r="41" spans="2:13" x14ac:dyDescent="0.25">
      <c r="B41" s="18" t="s">
        <v>3</v>
      </c>
      <c r="C41" s="10"/>
      <c r="D41" s="63">
        <f>SUM(D40)</f>
        <v>568235.43162583513</v>
      </c>
      <c r="E41" s="58">
        <f>SUM(E40)</f>
        <v>56823.543162583519</v>
      </c>
      <c r="F41" s="89"/>
      <c r="G41" s="89"/>
      <c r="H41" s="86">
        <f>SUM(H40)</f>
        <v>4.7352952635486263</v>
      </c>
      <c r="L41" s="61"/>
    </row>
    <row r="42" spans="2:13" x14ac:dyDescent="0.25">
      <c r="B42" s="23"/>
      <c r="C42" s="23"/>
      <c r="D42" s="23"/>
      <c r="E42" s="23"/>
      <c r="F42" s="60"/>
      <c r="G42" s="23"/>
      <c r="H42" s="60"/>
      <c r="L42" s="61"/>
    </row>
    <row r="43" spans="2:13" ht="45" customHeight="1" x14ac:dyDescent="0.25">
      <c r="B43" s="84" t="s">
        <v>64</v>
      </c>
      <c r="C43" s="18" t="s">
        <v>65</v>
      </c>
      <c r="D43" s="15" t="s">
        <v>38</v>
      </c>
      <c r="E43" s="15" t="s">
        <v>39</v>
      </c>
      <c r="F43" s="15" t="s">
        <v>40</v>
      </c>
      <c r="G43" s="15" t="s">
        <v>41</v>
      </c>
      <c r="H43" s="92" t="s">
        <v>2</v>
      </c>
      <c r="L43" s="61"/>
    </row>
    <row r="44" spans="2:13" x14ac:dyDescent="0.25">
      <c r="B44" s="10" t="s">
        <v>64</v>
      </c>
      <c r="C44" s="54">
        <f>SUM(E26:E28)</f>
        <v>112.8</v>
      </c>
      <c r="D44" s="10">
        <f>Assumptions!C38</f>
        <v>750</v>
      </c>
      <c r="E44" s="54">
        <f>D44*Assumptions!C39*730.4*C44/1000</f>
        <v>30895.919999999998</v>
      </c>
      <c r="F44" s="54">
        <f>E44*Assumptions!C40</f>
        <v>77239.799999999988</v>
      </c>
      <c r="G44" s="63">
        <f>(E44+F44)*Assumptions!C41</f>
        <v>10813.572</v>
      </c>
      <c r="H44" s="63">
        <f>G44/Assumptions!$C$4</f>
        <v>10.813572000000001</v>
      </c>
      <c r="L44" s="61"/>
    </row>
    <row r="45" spans="2:13" x14ac:dyDescent="0.25">
      <c r="B45" s="18" t="s">
        <v>3</v>
      </c>
      <c r="C45" s="10"/>
      <c r="D45" s="10"/>
      <c r="E45" s="10"/>
      <c r="F45" s="10"/>
      <c r="G45" s="92">
        <f>SUM(G44:G44)</f>
        <v>10813.572</v>
      </c>
      <c r="H45" s="92">
        <f>SUM(H44:H44)</f>
        <v>10.813572000000001</v>
      </c>
      <c r="L45" s="61"/>
    </row>
    <row r="46" spans="2:13" x14ac:dyDescent="0.25">
      <c r="B46" s="50"/>
      <c r="C46" s="23"/>
      <c r="D46" s="23"/>
      <c r="E46" s="23"/>
      <c r="F46" s="23"/>
      <c r="G46" s="64"/>
      <c r="H46" s="64"/>
      <c r="L46" s="61"/>
    </row>
    <row r="47" spans="2:13" x14ac:dyDescent="0.25">
      <c r="B47" s="84" t="s">
        <v>66</v>
      </c>
      <c r="C47" s="18" t="s">
        <v>70</v>
      </c>
      <c r="D47" s="18" t="s">
        <v>71</v>
      </c>
      <c r="E47" s="88"/>
      <c r="F47" s="120" t="s">
        <v>123</v>
      </c>
      <c r="G47" s="120"/>
      <c r="H47" s="70" t="s">
        <v>81</v>
      </c>
    </row>
    <row r="48" spans="2:13" x14ac:dyDescent="0.25">
      <c r="B48" s="59" t="s">
        <v>73</v>
      </c>
      <c r="C48" s="65">
        <f>C44*D44*Assumptions!C39/1000</f>
        <v>42.3</v>
      </c>
      <c r="D48" s="66">
        <f>C48*Assumptions!C44/Assumptions!C45</f>
        <v>64859.999999999993</v>
      </c>
      <c r="E48" s="80"/>
      <c r="F48" s="79"/>
      <c r="G48" s="79"/>
      <c r="H48" s="90">
        <f>D48/Assumptions!$C$4/12</f>
        <v>5.4050000000000002</v>
      </c>
    </row>
    <row r="49" spans="2:8" x14ac:dyDescent="0.25">
      <c r="B49" s="10"/>
      <c r="C49" s="125" t="s">
        <v>76</v>
      </c>
      <c r="D49" s="125" t="s">
        <v>77</v>
      </c>
      <c r="E49" s="68" t="s">
        <v>82</v>
      </c>
      <c r="F49" s="79"/>
      <c r="G49" s="79"/>
      <c r="H49" s="53"/>
    </row>
    <row r="50" spans="2:8" x14ac:dyDescent="0.25">
      <c r="B50" s="10" t="s">
        <v>75</v>
      </c>
      <c r="C50" s="54">
        <f>D44*C44/1000</f>
        <v>84.6</v>
      </c>
      <c r="D50" s="54">
        <f>ROUNDUP(C50*1000/Assumptions!C46,0)</f>
        <v>711</v>
      </c>
      <c r="E50" s="81">
        <f>(D50/Assumptions!C47)*Assumptions!C48*Assumptions!C49/Assumptions!C45</f>
        <v>7448.5714285714284</v>
      </c>
      <c r="F50" s="118" t="s">
        <v>123</v>
      </c>
      <c r="G50" s="118"/>
      <c r="H50" s="91">
        <f>E50/12/Assumptions!$C$4</f>
        <v>0.62071428571428566</v>
      </c>
    </row>
    <row r="51" spans="2:8" x14ac:dyDescent="0.25">
      <c r="B51" s="18" t="s">
        <v>3</v>
      </c>
      <c r="C51" s="10"/>
      <c r="D51" s="10"/>
      <c r="E51" s="88"/>
      <c r="F51" s="89"/>
      <c r="G51" s="89"/>
      <c r="H51" s="86">
        <f>H50+H48</f>
        <v>6.0257142857142858</v>
      </c>
    </row>
    <row r="52" spans="2:8" x14ac:dyDescent="0.25">
      <c r="B52" s="23"/>
      <c r="C52" s="23"/>
      <c r="D52" s="23"/>
      <c r="E52" s="23"/>
      <c r="F52" s="23"/>
      <c r="G52" s="23"/>
      <c r="H52" s="23"/>
    </row>
    <row r="53" spans="2:8" x14ac:dyDescent="0.25">
      <c r="B53" s="18" t="s">
        <v>42</v>
      </c>
      <c r="C53" s="18" t="s">
        <v>3</v>
      </c>
      <c r="D53" s="18" t="s">
        <v>25</v>
      </c>
      <c r="E53" s="68" t="s">
        <v>5</v>
      </c>
      <c r="F53" s="85"/>
      <c r="G53" s="85"/>
      <c r="H53" s="70" t="s">
        <v>2</v>
      </c>
    </row>
    <row r="54" spans="2:8" x14ac:dyDescent="0.25">
      <c r="B54" s="10" t="s">
        <v>43</v>
      </c>
      <c r="C54" s="54">
        <f>Assumptions!C10*ROUNDUP(Assumptions!C4/Assumptions!C11,0)</f>
        <v>3</v>
      </c>
      <c r="D54" s="56">
        <f>Assumptions!D20</f>
        <v>7500</v>
      </c>
      <c r="E54" s="58">
        <f>C54*D54</f>
        <v>22500</v>
      </c>
      <c r="F54" s="79"/>
      <c r="G54" s="79"/>
      <c r="H54" s="87">
        <f>E54/Assumptions!$C$4/12</f>
        <v>1.875</v>
      </c>
    </row>
    <row r="55" spans="2:8" ht="26.25" x14ac:dyDescent="0.25">
      <c r="B55" s="12" t="s">
        <v>44</v>
      </c>
      <c r="C55" s="54">
        <f>Assumptions!C4</f>
        <v>1000</v>
      </c>
      <c r="D55" s="56">
        <f>Assumptions!D21</f>
        <v>35.380000000000003</v>
      </c>
      <c r="E55" s="58">
        <f>C55*D55</f>
        <v>35380</v>
      </c>
      <c r="F55" s="118" t="s">
        <v>123</v>
      </c>
      <c r="G55" s="118"/>
      <c r="H55" s="87">
        <f>E55/Assumptions!$C$4/12</f>
        <v>2.9483333333333337</v>
      </c>
    </row>
    <row r="56" spans="2:8" x14ac:dyDescent="0.25">
      <c r="B56" s="10" t="s">
        <v>45</v>
      </c>
      <c r="C56" s="54">
        <f>Assumptions!C4</f>
        <v>1000</v>
      </c>
      <c r="D56" s="56">
        <f>Assumptions!D22</f>
        <v>36</v>
      </c>
      <c r="E56" s="58">
        <f>C56*D56</f>
        <v>36000</v>
      </c>
      <c r="F56" s="89"/>
      <c r="G56" s="89"/>
      <c r="H56" s="87">
        <f>E56/Assumptions!$C$4/12</f>
        <v>3</v>
      </c>
    </row>
    <row r="57" spans="2:8" x14ac:dyDescent="0.25">
      <c r="B57" s="23"/>
      <c r="C57" s="23"/>
      <c r="D57" s="23"/>
      <c r="E57" s="23"/>
      <c r="F57" s="60"/>
      <c r="G57" s="23"/>
      <c r="H57" s="23"/>
    </row>
    <row r="58" spans="2:8" x14ac:dyDescent="0.25">
      <c r="B58" s="84" t="s">
        <v>83</v>
      </c>
      <c r="C58" s="18" t="s">
        <v>46</v>
      </c>
      <c r="D58" s="18" t="s">
        <v>47</v>
      </c>
      <c r="E58" s="68" t="s">
        <v>5</v>
      </c>
      <c r="F58" s="85"/>
      <c r="G58" s="85"/>
      <c r="H58" s="86" t="s">
        <v>2</v>
      </c>
    </row>
    <row r="59" spans="2:8" x14ac:dyDescent="0.25">
      <c r="B59" s="12" t="s">
        <v>140</v>
      </c>
      <c r="C59" s="123">
        <f>Assumptions!C52*Assumptions!$C$12</f>
        <v>0.66666666666666663</v>
      </c>
      <c r="D59" s="67">
        <v>150000</v>
      </c>
      <c r="E59" s="82">
        <f>C59*D59</f>
        <v>100000</v>
      </c>
      <c r="F59" s="118" t="s">
        <v>123</v>
      </c>
      <c r="G59" s="118"/>
      <c r="H59" s="87">
        <f>E59/12/Assumptions!$C$4</f>
        <v>8.3333333333333339</v>
      </c>
    </row>
    <row r="60" spans="2:8" x14ac:dyDescent="0.25">
      <c r="B60" s="12" t="s">
        <v>141</v>
      </c>
      <c r="C60" s="123">
        <f>Assumptions!C53*Assumptions!$C$12</f>
        <v>0.66666666666666663</v>
      </c>
      <c r="D60" s="67">
        <v>150000</v>
      </c>
      <c r="E60" s="82">
        <f t="shared" ref="E60:E61" si="0">C60*D60</f>
        <v>100000</v>
      </c>
      <c r="F60" s="83"/>
      <c r="G60" s="83"/>
      <c r="H60" s="87">
        <f>E60/12/Assumptions!$C$4</f>
        <v>8.3333333333333339</v>
      </c>
    </row>
    <row r="61" spans="2:8" x14ac:dyDescent="0.25">
      <c r="B61" s="12" t="s">
        <v>145</v>
      </c>
      <c r="C61" s="123">
        <f>Assumptions!C54*Assumptions!$C$12</f>
        <v>0.66666666666666663</v>
      </c>
      <c r="D61" s="67">
        <v>150000</v>
      </c>
      <c r="E61" s="82">
        <f t="shared" si="0"/>
        <v>100000</v>
      </c>
      <c r="F61" s="83"/>
      <c r="G61" s="83"/>
      <c r="H61" s="87">
        <f>E61/12/Assumptions!$C$4</f>
        <v>8.3333333333333339</v>
      </c>
    </row>
    <row r="62" spans="2:8" x14ac:dyDescent="0.25">
      <c r="B62" s="18" t="s">
        <v>3</v>
      </c>
      <c r="C62" s="10"/>
      <c r="D62" s="10"/>
      <c r="E62" s="88"/>
      <c r="F62" s="89"/>
      <c r="G62" s="89"/>
      <c r="H62" s="86">
        <f>SUM(H59:H61)</f>
        <v>25</v>
      </c>
    </row>
    <row r="63" spans="2:8" x14ac:dyDescent="0.25">
      <c r="F63" s="61"/>
    </row>
  </sheetData>
  <mergeCells count="8">
    <mergeCell ref="F50:G50"/>
    <mergeCell ref="F55:G55"/>
    <mergeCell ref="F59:G59"/>
    <mergeCell ref="B23:C23"/>
    <mergeCell ref="B2:C2"/>
    <mergeCell ref="F36:G36"/>
    <mergeCell ref="F40:G40"/>
    <mergeCell ref="F47:G47"/>
  </mergeCell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Summary</vt:lpstr>
      <vt:lpstr>Assumptions</vt:lpstr>
      <vt:lpstr>Detailed Calculations</vt:lpstr>
    </vt:vector>
  </TitlesOfParts>
  <Company>Amazon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Suryanarayanan, Deepak</dc:creator>
  <cp:lastModifiedBy>jvaria</cp:lastModifiedBy>
  <dcterms:created xsi:type="dcterms:W3CDTF">2013-11-08T05:23:02Z</dcterms:created>
  <dcterms:modified xsi:type="dcterms:W3CDTF">2013-11-13T00:42:54Z</dcterms:modified>
</cp:coreProperties>
</file>